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5.xml" ContentType="application/vnd.openxmlformats-officedocument.drawing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fQwNPsgLTSPbdwxrz4HcHoa8Zuvz65JQ\SCiO\2 - Programme Excellence SCIO\4 - Modules du PE\Module 4\"/>
    </mc:Choice>
  </mc:AlternateContent>
  <xr:revisionPtr revIDLastSave="0" documentId="13_ncr:1_{B5F2A114-88AA-4D8F-BB73-6FE03A234AA3}" xr6:coauthVersionLast="47" xr6:coauthVersionMax="47" xr10:uidLastSave="{00000000-0000-0000-0000-000000000000}"/>
  <bookViews>
    <workbookView xWindow="-120" yWindow="-120" windowWidth="29040" windowHeight="15720" tabRatio="925" activeTab="1" xr2:uid="{00000000-000D-0000-FFFF-FFFF00000000}"/>
  </bookViews>
  <sheets>
    <sheet name="Informations" sheetId="17" r:id="rId1"/>
    <sheet name="Objectifs-projets et rêves" sheetId="47" r:id="rId2"/>
    <sheet name="Status" sheetId="18" r:id="rId3"/>
    <sheet name="Bilan Perso" sheetId="2" r:id="rId4"/>
    <sheet name="Bilan GESCO" sheetId="21" state="hidden" r:id="rId5"/>
    <sheet name="Bilan OPCO" sheetId="22" state="hidden" r:id="rId6"/>
    <sheet name="Graphique de progression" sheetId="19" r:id="rId7"/>
    <sheet name="Sommaire assurance de personne" sheetId="3" r:id="rId8"/>
    <sheet name="Analyse invalidité" sheetId="12" state="hidden" r:id="rId9"/>
    <sheet name="Sommaire assurance dommages" sheetId="23" r:id="rId10"/>
    <sheet name="Budget %" sheetId="43" state="hidden" r:id="rId11"/>
    <sheet name="AMG propriété partagé" sheetId="44" state="hidden" r:id="rId12"/>
    <sheet name="AMG propriété partagé concept" sheetId="45" state="hidden" r:id="rId13"/>
    <sheet name="AMG propriété partagé analyse" sheetId="46" state="hidden" r:id="rId14"/>
    <sheet name="Coût ass. hypotécaire CALCUL" sheetId="34" state="hidden" r:id="rId15"/>
    <sheet name="Calcul remboursement MC" sheetId="35" state="hidden" r:id="rId16"/>
  </sheets>
  <definedNames>
    <definedName name="_xlnm.Print_Area" localSheetId="4">'Bilan GESCO'!$B$2:$H$65</definedName>
    <definedName name="_xlnm.Print_Area" localSheetId="5">'Bilan OPCO'!$B$2:$H$65</definedName>
    <definedName name="_xlnm.Print_Area" localSheetId="3">'Bilan Perso'!$B$2:$H$64</definedName>
    <definedName name="_xlnm.Print_Area" localSheetId="10">'Budget %'!$B$1:$D$67</definedName>
    <definedName name="_xlnm.Print_Area" localSheetId="15">'Calcul remboursement MC'!$A$4:$F$125</definedName>
    <definedName name="_xlnm.Print_Area" localSheetId="14">'Coût ass. hypotécaire CALCUL'!$A$1:$N$25</definedName>
    <definedName name="_xlnm.Print_Area" localSheetId="1">'Objectifs-projets et rêves'!$B$2:$H$14</definedName>
    <definedName name="_xlnm.Print_Area" localSheetId="7">'Sommaire assurance de personne'!$A$1:$J$24</definedName>
    <definedName name="_xlnm.Print_Area" localSheetId="9">'Sommaire assurance dommages'!$A$1:$G$14</definedName>
    <definedName name="_xlnm.Print_Area" localSheetId="2">Status!$B$2:$H$30</definedName>
  </definedNames>
  <calcPr calcId="191028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47" l="1"/>
  <c r="M14" i="46"/>
  <c r="F14" i="46"/>
  <c r="F13" i="46"/>
  <c r="E13" i="46" s="1"/>
  <c r="M13" i="46" s="1"/>
  <c r="M12" i="46"/>
  <c r="F12" i="46"/>
  <c r="M10" i="46"/>
  <c r="F10" i="46"/>
  <c r="M8" i="46"/>
  <c r="F8" i="46"/>
  <c r="F7" i="46"/>
  <c r="E7" i="46"/>
  <c r="M7" i="46" s="1"/>
  <c r="M6" i="46"/>
  <c r="F6" i="46"/>
  <c r="N4" i="46"/>
  <c r="M4" i="46"/>
  <c r="F4" i="46"/>
  <c r="C13" i="45" s="1"/>
  <c r="M3" i="46"/>
  <c r="F3" i="46"/>
  <c r="F2" i="46"/>
  <c r="E2" i="46"/>
  <c r="M2" i="46" s="1"/>
  <c r="O17" i="45"/>
  <c r="P13" i="45"/>
  <c r="I7" i="45"/>
  <c r="I6" i="45"/>
  <c r="I5" i="45"/>
  <c r="I4" i="45"/>
  <c r="I2" i="45"/>
  <c r="A63" i="43"/>
  <c r="D61" i="43"/>
  <c r="C60" i="43"/>
  <c r="C59" i="43"/>
  <c r="C51" i="43" s="1"/>
  <c r="D58" i="43"/>
  <c r="E58" i="43" s="1"/>
  <c r="D57" i="43"/>
  <c r="E57" i="43" s="1"/>
  <c r="D56" i="43"/>
  <c r="D55" i="43"/>
  <c r="E55" i="43" s="1"/>
  <c r="D54" i="43"/>
  <c r="E54" i="43" s="1"/>
  <c r="D53" i="43"/>
  <c r="D59" i="43" s="1"/>
  <c r="D52" i="43"/>
  <c r="E52" i="43" s="1"/>
  <c r="C50" i="43"/>
  <c r="C44" i="43" s="1"/>
  <c r="D49" i="43"/>
  <c r="E49" i="43" s="1"/>
  <c r="D48" i="43"/>
  <c r="E48" i="43" s="1"/>
  <c r="D47" i="43"/>
  <c r="E47" i="43" s="1"/>
  <c r="D46" i="43"/>
  <c r="E46" i="43" s="1"/>
  <c r="D45" i="43"/>
  <c r="D50" i="43" s="1"/>
  <c r="C43" i="43"/>
  <c r="D42" i="43"/>
  <c r="E42" i="43" s="1"/>
  <c r="D41" i="43"/>
  <c r="E41" i="43" s="1"/>
  <c r="D40" i="43"/>
  <c r="E40" i="43" s="1"/>
  <c r="D39" i="43"/>
  <c r="E39" i="43" s="1"/>
  <c r="D38" i="43"/>
  <c r="D43" i="43" s="1"/>
  <c r="C37" i="43"/>
  <c r="C36" i="43"/>
  <c r="D35" i="43"/>
  <c r="E35" i="43" s="1"/>
  <c r="D34" i="43"/>
  <c r="E34" i="43" s="1"/>
  <c r="D33" i="43"/>
  <c r="E33" i="43" s="1"/>
  <c r="D32" i="43"/>
  <c r="D36" i="43" s="1"/>
  <c r="C31" i="43"/>
  <c r="C30" i="43"/>
  <c r="C26" i="43" s="1"/>
  <c r="D29" i="43"/>
  <c r="D30" i="43" s="1"/>
  <c r="D28" i="43"/>
  <c r="E28" i="43" s="1"/>
  <c r="D27" i="43"/>
  <c r="E27" i="43" s="1"/>
  <c r="C25" i="43"/>
  <c r="C19" i="43" s="1"/>
  <c r="D24" i="43"/>
  <c r="E24" i="43" s="1"/>
  <c r="D23" i="43"/>
  <c r="E23" i="43" s="1"/>
  <c r="D21" i="43"/>
  <c r="D25" i="43" s="1"/>
  <c r="D65" i="43" s="1"/>
  <c r="D20" i="43"/>
  <c r="C18" i="43"/>
  <c r="C14" i="43" s="1"/>
  <c r="D17" i="43"/>
  <c r="D18" i="43" s="1"/>
  <c r="D16" i="43"/>
  <c r="D15" i="43"/>
  <c r="E15" i="43" s="1"/>
  <c r="D13" i="43"/>
  <c r="E13" i="43" s="1"/>
  <c r="C12" i="43"/>
  <c r="D8" i="43"/>
  <c r="D67" i="43" s="1"/>
  <c r="C8" i="43"/>
  <c r="D6" i="43"/>
  <c r="D5" i="43"/>
  <c r="D4" i="43"/>
  <c r="G22" i="3"/>
  <c r="F22" i="3"/>
  <c r="B14" i="45" l="1"/>
  <c r="I13" i="45"/>
  <c r="O14" i="45"/>
  <c r="C67" i="43"/>
  <c r="E18" i="43"/>
  <c r="E61" i="43"/>
  <c r="E16" i="43"/>
  <c r="E20" i="43"/>
  <c r="E29" i="43"/>
  <c r="E30" i="43" s="1"/>
  <c r="E45" i="43"/>
  <c r="E50" i="43" s="1"/>
  <c r="E53" i="43"/>
  <c r="E59" i="43" s="1"/>
  <c r="E17" i="43"/>
  <c r="E22" i="43"/>
  <c r="E38" i="43"/>
  <c r="E43" i="43" s="1"/>
  <c r="C65" i="43"/>
  <c r="E21" i="43"/>
  <c r="E32" i="43"/>
  <c r="E36" i="43" s="1"/>
  <c r="E56" i="43"/>
  <c r="G24" i="45" l="1"/>
  <c r="G28" i="45"/>
  <c r="G22" i="45"/>
  <c r="E25" i="43"/>
  <c r="E65" i="43" s="1"/>
  <c r="K30" i="45" l="1"/>
  <c r="G30" i="45"/>
  <c r="K26" i="45"/>
  <c r="G26" i="45"/>
  <c r="F24" i="3" l="1"/>
  <c r="I25" i="3"/>
  <c r="I24" i="3"/>
  <c r="I23" i="3"/>
  <c r="I22" i="3"/>
  <c r="H22" i="3"/>
  <c r="G50" i="3"/>
  <c r="H50" i="3"/>
  <c r="F50" i="3"/>
  <c r="G49" i="3"/>
  <c r="H49" i="3"/>
  <c r="F49" i="3"/>
  <c r="G48" i="3"/>
  <c r="H48" i="3"/>
  <c r="F48" i="3"/>
  <c r="I48" i="3"/>
  <c r="H23" i="3"/>
  <c r="F23" i="3"/>
  <c r="G23" i="3"/>
  <c r="C13" i="18"/>
  <c r="B6" i="35" l="1"/>
  <c r="D6" i="35" s="1"/>
  <c r="A6" i="35"/>
  <c r="A7" i="35" s="1"/>
  <c r="A8" i="35" s="1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A57" i="35" s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77" i="35" s="1"/>
  <c r="A78" i="35" s="1"/>
  <c r="A79" i="35" s="1"/>
  <c r="A80" i="35" s="1"/>
  <c r="A81" i="35" s="1"/>
  <c r="A82" i="35" s="1"/>
  <c r="A83" i="35" s="1"/>
  <c r="A84" i="35" s="1"/>
  <c r="A85" i="35" s="1"/>
  <c r="A86" i="35" s="1"/>
  <c r="A87" i="35" s="1"/>
  <c r="A88" i="35" s="1"/>
  <c r="A89" i="35" s="1"/>
  <c r="A90" i="35" s="1"/>
  <c r="A91" i="35" s="1"/>
  <c r="A92" i="35" s="1"/>
  <c r="A93" i="35" s="1"/>
  <c r="A94" i="35" s="1"/>
  <c r="A95" i="35" s="1"/>
  <c r="A96" i="35" s="1"/>
  <c r="A97" i="35" s="1"/>
  <c r="A98" i="35" s="1"/>
  <c r="A99" i="35" s="1"/>
  <c r="A100" i="35" s="1"/>
  <c r="A101" i="35" s="1"/>
  <c r="A102" i="35" s="1"/>
  <c r="A103" i="35" s="1"/>
  <c r="A104" i="35" s="1"/>
  <c r="A105" i="35" s="1"/>
  <c r="A106" i="35" s="1"/>
  <c r="A107" i="35" s="1"/>
  <c r="A108" i="35" s="1"/>
  <c r="A109" i="35" s="1"/>
  <c r="A110" i="35" s="1"/>
  <c r="A111" i="35" s="1"/>
  <c r="A112" i="35" s="1"/>
  <c r="A113" i="35" s="1"/>
  <c r="A114" i="35" s="1"/>
  <c r="A115" i="35" s="1"/>
  <c r="A116" i="35" s="1"/>
  <c r="A117" i="35" s="1"/>
  <c r="A118" i="35" s="1"/>
  <c r="A119" i="35" s="1"/>
  <c r="A120" i="35" s="1"/>
  <c r="A121" i="35" s="1"/>
  <c r="A122" i="35" s="1"/>
  <c r="A123" i="35" s="1"/>
  <c r="A124" i="35" s="1"/>
  <c r="A125" i="35" s="1"/>
  <c r="A126" i="35" s="1"/>
  <c r="A127" i="35" s="1"/>
  <c r="A128" i="35" s="1"/>
  <c r="A129" i="35" s="1"/>
  <c r="A130" i="35" s="1"/>
  <c r="A131" i="35" s="1"/>
  <c r="A132" i="35" s="1"/>
  <c r="A133" i="35" s="1"/>
  <c r="A134" i="35" s="1"/>
  <c r="A135" i="35" s="1"/>
  <c r="A136" i="35" s="1"/>
  <c r="A137" i="35" s="1"/>
  <c r="A138" i="35" s="1"/>
  <c r="A139" i="35" s="1"/>
  <c r="A140" i="35" s="1"/>
  <c r="A141" i="35" s="1"/>
  <c r="A142" i="35" s="1"/>
  <c r="A143" i="35" s="1"/>
  <c r="A144" i="35" s="1"/>
  <c r="A145" i="35" s="1"/>
  <c r="A146" i="35" s="1"/>
  <c r="A147" i="35" s="1"/>
  <c r="A148" i="35" s="1"/>
  <c r="A149" i="35" s="1"/>
  <c r="A150" i="35" s="1"/>
  <c r="A151" i="35" s="1"/>
  <c r="A152" i="35" s="1"/>
  <c r="A153" i="35" s="1"/>
  <c r="A154" i="35" s="1"/>
  <c r="A155" i="35" s="1"/>
  <c r="A156" i="35" s="1"/>
  <c r="A157" i="35" s="1"/>
  <c r="A158" i="35" s="1"/>
  <c r="A159" i="35" s="1"/>
  <c r="A160" i="35" s="1"/>
  <c r="A161" i="35" s="1"/>
  <c r="A162" i="35" s="1"/>
  <c r="A163" i="35" s="1"/>
  <c r="A164" i="35" s="1"/>
  <c r="A165" i="35" s="1"/>
  <c r="A166" i="35" s="1"/>
  <c r="A167" i="35" s="1"/>
  <c r="A168" i="35" s="1"/>
  <c r="A169" i="35" s="1"/>
  <c r="A170" i="35" s="1"/>
  <c r="A171" i="35" s="1"/>
  <c r="A172" i="35" s="1"/>
  <c r="A173" i="35" s="1"/>
  <c r="A174" i="35" s="1"/>
  <c r="A175" i="35" s="1"/>
  <c r="A176" i="35" s="1"/>
  <c r="A177" i="35" s="1"/>
  <c r="A178" i="35" s="1"/>
  <c r="A179" i="35" s="1"/>
  <c r="A180" i="35" s="1"/>
  <c r="A181" i="35" s="1"/>
  <c r="A182" i="35" s="1"/>
  <c r="A183" i="35" s="1"/>
  <c r="A184" i="35" s="1"/>
  <c r="A185" i="35" s="1"/>
  <c r="A186" i="35" s="1"/>
  <c r="A187" i="35" s="1"/>
  <c r="A188" i="35" s="1"/>
  <c r="A189" i="35" s="1"/>
  <c r="A190" i="35" s="1"/>
  <c r="A191" i="35" s="1"/>
  <c r="A192" i="35" s="1"/>
  <c r="A193" i="35" s="1"/>
  <c r="A194" i="35" s="1"/>
  <c r="A195" i="35" s="1"/>
  <c r="A196" i="35" s="1"/>
  <c r="A197" i="35" s="1"/>
  <c r="A198" i="35" s="1"/>
  <c r="A199" i="35" s="1"/>
  <c r="A200" i="35" s="1"/>
  <c r="A201" i="35" s="1"/>
  <c r="A202" i="35" s="1"/>
  <c r="A203" i="35" s="1"/>
  <c r="A204" i="35" s="1"/>
  <c r="A205" i="35" s="1"/>
  <c r="A206" i="35" s="1"/>
  <c r="A207" i="35" s="1"/>
  <c r="A208" i="35" s="1"/>
  <c r="A209" i="35" s="1"/>
  <c r="A210" i="35" s="1"/>
  <c r="A211" i="35" s="1"/>
  <c r="A212" i="35" s="1"/>
  <c r="A213" i="35" s="1"/>
  <c r="A214" i="35" s="1"/>
  <c r="A215" i="35" s="1"/>
  <c r="A216" i="35" s="1"/>
  <c r="A217" i="35" s="1"/>
  <c r="A218" i="35" s="1"/>
  <c r="A219" i="35" s="1"/>
  <c r="A220" i="35" s="1"/>
  <c r="A221" i="35" s="1"/>
  <c r="A222" i="35" s="1"/>
  <c r="A223" i="35" s="1"/>
  <c r="A224" i="35" s="1"/>
  <c r="A225" i="35" s="1"/>
  <c r="A226" i="35" s="1"/>
  <c r="A227" i="35" s="1"/>
  <c r="A228" i="35" s="1"/>
  <c r="A229" i="35" s="1"/>
  <c r="A230" i="35" s="1"/>
  <c r="A231" i="35" s="1"/>
  <c r="A232" i="35" s="1"/>
  <c r="A233" i="35" s="1"/>
  <c r="A234" i="35" s="1"/>
  <c r="A235" i="35" s="1"/>
  <c r="A236" i="35" s="1"/>
  <c r="A237" i="35" s="1"/>
  <c r="A238" i="35" s="1"/>
  <c r="A239" i="35" s="1"/>
  <c r="A240" i="35" s="1"/>
  <c r="A241" i="35" s="1"/>
  <c r="A242" i="35" s="1"/>
  <c r="A243" i="35" s="1"/>
  <c r="A244" i="35" s="1"/>
  <c r="A245" i="35" s="1"/>
  <c r="A246" i="35" s="1"/>
  <c r="A247" i="35" s="1"/>
  <c r="A248" i="35" s="1"/>
  <c r="A249" i="35" s="1"/>
  <c r="A250" i="35" s="1"/>
  <c r="A251" i="35" s="1"/>
  <c r="A252" i="35" s="1"/>
  <c r="A253" i="35" s="1"/>
  <c r="A254" i="35" s="1"/>
  <c r="A255" i="35" s="1"/>
  <c r="A256" i="35" s="1"/>
  <c r="A257" i="35" s="1"/>
  <c r="A258" i="35" s="1"/>
  <c r="A259" i="35" s="1"/>
  <c r="A260" i="35" s="1"/>
  <c r="A261" i="35" s="1"/>
  <c r="A262" i="35" s="1"/>
  <c r="A263" i="35" s="1"/>
  <c r="A264" i="35" s="1"/>
  <c r="A265" i="35" s="1"/>
  <c r="A266" i="35" s="1"/>
  <c r="A267" i="35" s="1"/>
  <c r="A268" i="35" s="1"/>
  <c r="A269" i="35" s="1"/>
  <c r="A270" i="35" s="1"/>
  <c r="A271" i="35" s="1"/>
  <c r="A272" i="35" s="1"/>
  <c r="A273" i="35" s="1"/>
  <c r="A274" i="35" s="1"/>
  <c r="A275" i="35" s="1"/>
  <c r="A276" i="35" s="1"/>
  <c r="A277" i="35" s="1"/>
  <c r="A278" i="35" s="1"/>
  <c r="A279" i="35" s="1"/>
  <c r="A280" i="35" s="1"/>
  <c r="A281" i="35" s="1"/>
  <c r="A282" i="35" s="1"/>
  <c r="A283" i="35" s="1"/>
  <c r="A284" i="35" s="1"/>
  <c r="A285" i="35" s="1"/>
  <c r="A286" i="35" s="1"/>
  <c r="A287" i="35" s="1"/>
  <c r="A288" i="35" s="1"/>
  <c r="A289" i="35" s="1"/>
  <c r="A290" i="35" s="1"/>
  <c r="A291" i="35" s="1"/>
  <c r="A292" i="35" s="1"/>
  <c r="A293" i="35" s="1"/>
  <c r="A294" i="35" s="1"/>
  <c r="A295" i="35" s="1"/>
  <c r="A296" i="35" s="1"/>
  <c r="A297" i="35" s="1"/>
  <c r="A298" i="35" s="1"/>
  <c r="A299" i="35" s="1"/>
  <c r="A300" i="35" s="1"/>
  <c r="A301" i="35" s="1"/>
  <c r="A302" i="35" s="1"/>
  <c r="A303" i="35" s="1"/>
  <c r="A304" i="35" s="1"/>
  <c r="A305" i="35" s="1"/>
  <c r="A306" i="35" s="1"/>
  <c r="A307" i="35" s="1"/>
  <c r="A308" i="35" s="1"/>
  <c r="A309" i="35" s="1"/>
  <c r="A310" i="35" s="1"/>
  <c r="A311" i="35" s="1"/>
  <c r="A312" i="35" s="1"/>
  <c r="A313" i="35" s="1"/>
  <c r="A314" i="35" s="1"/>
  <c r="A315" i="35" s="1"/>
  <c r="A316" i="35" s="1"/>
  <c r="A317" i="35" s="1"/>
  <c r="A318" i="35" s="1"/>
  <c r="A319" i="35" s="1"/>
  <c r="A320" i="35" s="1"/>
  <c r="A321" i="35" s="1"/>
  <c r="A322" i="35" s="1"/>
  <c r="A323" i="35" s="1"/>
  <c r="A324" i="35" s="1"/>
  <c r="A325" i="35" s="1"/>
  <c r="A326" i="35" s="1"/>
  <c r="A327" i="35" s="1"/>
  <c r="A328" i="35" s="1"/>
  <c r="A329" i="35" s="1"/>
  <c r="A330" i="35" s="1"/>
  <c r="A331" i="35" s="1"/>
  <c r="A332" i="35" s="1"/>
  <c r="A333" i="35" s="1"/>
  <c r="A334" i="35" s="1"/>
  <c r="A335" i="35" s="1"/>
  <c r="A336" i="35" s="1"/>
  <c r="A337" i="35" s="1"/>
  <c r="A338" i="35" s="1"/>
  <c r="A339" i="35" s="1"/>
  <c r="A340" i="35" s="1"/>
  <c r="A341" i="35" s="1"/>
  <c r="A342" i="35" s="1"/>
  <c r="A343" i="35" s="1"/>
  <c r="A344" i="35" s="1"/>
  <c r="A345" i="35" s="1"/>
  <c r="A346" i="35" s="1"/>
  <c r="A347" i="35" s="1"/>
  <c r="A348" i="35" s="1"/>
  <c r="A349" i="35" s="1"/>
  <c r="A350" i="35" s="1"/>
  <c r="A351" i="35" s="1"/>
  <c r="A352" i="35" s="1"/>
  <c r="A353" i="35" s="1"/>
  <c r="A354" i="35" s="1"/>
  <c r="A355" i="35" s="1"/>
  <c r="A356" i="35" s="1"/>
  <c r="A357" i="35" s="1"/>
  <c r="A358" i="35" s="1"/>
  <c r="A359" i="35" s="1"/>
  <c r="A360" i="35" s="1"/>
  <c r="A361" i="35" s="1"/>
  <c r="A362" i="35" s="1"/>
  <c r="A363" i="35" s="1"/>
  <c r="A364" i="35" s="1"/>
  <c r="A365" i="35" s="1"/>
  <c r="A366" i="35" s="1"/>
  <c r="A367" i="35" s="1"/>
  <c r="A368" i="35" s="1"/>
  <c r="A369" i="35" s="1"/>
  <c r="A370" i="35" s="1"/>
  <c r="A371" i="35" s="1"/>
  <c r="A372" i="35" s="1"/>
  <c r="A373" i="35" s="1"/>
  <c r="A374" i="35" s="1"/>
  <c r="A375" i="35" s="1"/>
  <c r="A376" i="35" s="1"/>
  <c r="A377" i="35" s="1"/>
  <c r="D2" i="35" l="1"/>
  <c r="C6" i="35" s="1"/>
  <c r="E6" i="35" s="1"/>
  <c r="F6" i="35" s="1"/>
  <c r="B7" i="35" s="1"/>
  <c r="D7" i="35" s="1"/>
  <c r="N31" i="34"/>
  <c r="M29" i="34"/>
  <c r="O30" i="34" s="1"/>
  <c r="M28" i="34"/>
  <c r="M27" i="34"/>
  <c r="L27" i="34"/>
  <c r="L29" i="34" s="1"/>
  <c r="Q26" i="34"/>
  <c r="M26" i="34"/>
  <c r="K19" i="34"/>
  <c r="E17" i="34"/>
  <c r="A13" i="34"/>
  <c r="K11" i="34"/>
  <c r="H11" i="34"/>
  <c r="C7" i="35" l="1"/>
  <c r="E7" i="35" s="1"/>
  <c r="F7" i="35" s="1"/>
  <c r="B8" i="35" s="1"/>
  <c r="D8" i="35" s="1"/>
  <c r="L30" i="34"/>
  <c r="L31" i="34" s="1"/>
  <c r="L32" i="34" s="1"/>
  <c r="K13" i="34" s="1"/>
  <c r="N30" i="34"/>
  <c r="M30" i="34"/>
  <c r="M31" i="34" s="1"/>
  <c r="M32" i="34" s="1"/>
  <c r="H13" i="34" s="1"/>
  <c r="C8" i="35" l="1"/>
  <c r="E8" i="35" s="1"/>
  <c r="F8" i="35" s="1"/>
  <c r="B9" i="35" s="1"/>
  <c r="D9" i="35" s="1"/>
  <c r="L15" i="34"/>
  <c r="C9" i="35"/>
  <c r="K17" i="34"/>
  <c r="H17" i="34"/>
  <c r="E9" i="35" l="1"/>
  <c r="F9" i="35" s="1"/>
  <c r="B10" i="35" s="1"/>
  <c r="D10" i="35"/>
  <c r="C10" i="35"/>
  <c r="E10" i="35" s="1"/>
  <c r="F10" i="35" s="1"/>
  <c r="B11" i="35" s="1"/>
  <c r="L19" i="34"/>
  <c r="L21" i="34"/>
  <c r="A24" i="34" l="1"/>
  <c r="D11" i="35"/>
  <c r="C11" i="35"/>
  <c r="E11" i="35" s="1"/>
  <c r="F11" i="35" s="1"/>
  <c r="B12" i="35" s="1"/>
  <c r="D12" i="35" l="1"/>
  <c r="C12" i="35"/>
  <c r="E12" i="35" s="1"/>
  <c r="F12" i="35" s="1"/>
  <c r="B13" i="35" s="1"/>
  <c r="D13" i="35" l="1"/>
  <c r="C13" i="35"/>
  <c r="E13" i="35" s="1"/>
  <c r="F13" i="35" s="1"/>
  <c r="B14" i="35" s="1"/>
  <c r="D14" i="35" l="1"/>
  <c r="C14" i="35"/>
  <c r="E14" i="35" s="1"/>
  <c r="F14" i="35" s="1"/>
  <c r="B15" i="35" s="1"/>
  <c r="D15" i="35" l="1"/>
  <c r="C15" i="35"/>
  <c r="E15" i="35" l="1"/>
  <c r="F15" i="35" s="1"/>
  <c r="B16" i="35" s="1"/>
  <c r="D16" i="35" s="1"/>
  <c r="C16" i="35"/>
  <c r="E16" i="35" l="1"/>
  <c r="F16" i="35" s="1"/>
  <c r="B17" i="35" s="1"/>
  <c r="C17" i="35"/>
  <c r="E17" i="35" s="1"/>
  <c r="F17" i="35" s="1"/>
  <c r="B18" i="35" s="1"/>
  <c r="D17" i="35"/>
  <c r="D18" i="35" l="1"/>
  <c r="C18" i="35"/>
  <c r="E18" i="35" s="1"/>
  <c r="F18" i="35" s="1"/>
  <c r="B19" i="35" s="1"/>
  <c r="D19" i="35" l="1"/>
  <c r="C19" i="35"/>
  <c r="E19" i="35" s="1"/>
  <c r="F19" i="35" s="1"/>
  <c r="B20" i="35" s="1"/>
  <c r="C20" i="35" l="1"/>
  <c r="D20" i="35"/>
  <c r="E20" i="35" l="1"/>
  <c r="F20" i="35" s="1"/>
  <c r="B21" i="35" s="1"/>
  <c r="D21" i="35" l="1"/>
  <c r="C21" i="35"/>
  <c r="E21" i="35" l="1"/>
  <c r="F21" i="35" s="1"/>
  <c r="B22" i="35" s="1"/>
  <c r="D22" i="35"/>
  <c r="C22" i="35"/>
  <c r="E22" i="35" s="1"/>
  <c r="F22" i="35" s="1"/>
  <c r="B23" i="35" s="1"/>
  <c r="D23" i="35" l="1"/>
  <c r="C23" i="35"/>
  <c r="E23" i="35" s="1"/>
  <c r="F23" i="35" s="1"/>
  <c r="B24" i="35" s="1"/>
  <c r="C24" i="35" l="1"/>
  <c r="D24" i="35"/>
  <c r="E24" i="35" l="1"/>
  <c r="F24" i="35" s="1"/>
  <c r="B25" i="35" s="1"/>
  <c r="D25" i="35" s="1"/>
  <c r="C25" i="35"/>
  <c r="E25" i="35" l="1"/>
  <c r="F25" i="35" s="1"/>
  <c r="B26" i="35" s="1"/>
  <c r="D26" i="35"/>
  <c r="C26" i="35"/>
  <c r="E26" i="35" s="1"/>
  <c r="F26" i="35" s="1"/>
  <c r="B27" i="35" s="1"/>
  <c r="D27" i="35" l="1"/>
  <c r="C27" i="35"/>
  <c r="E27" i="35" s="1"/>
  <c r="F27" i="35" s="1"/>
  <c r="B28" i="35" s="1"/>
  <c r="D28" i="35" l="1"/>
  <c r="C28" i="35"/>
  <c r="E28" i="35" s="1"/>
  <c r="F28" i="35" s="1"/>
  <c r="B29" i="35" s="1"/>
  <c r="C29" i="35" l="1"/>
  <c r="D29" i="35"/>
  <c r="E29" i="35" l="1"/>
  <c r="F29" i="35" s="1"/>
  <c r="B30" i="35" s="1"/>
  <c r="D30" i="35" l="1"/>
  <c r="C30" i="35"/>
  <c r="E30" i="35" s="1"/>
  <c r="F30" i="35" s="1"/>
  <c r="B31" i="35" s="1"/>
  <c r="D31" i="35" l="1"/>
  <c r="C31" i="35"/>
  <c r="E31" i="35" l="1"/>
  <c r="F31" i="35" s="1"/>
  <c r="B32" i="35" s="1"/>
  <c r="D32" i="35"/>
  <c r="C32" i="35"/>
  <c r="E32" i="35" s="1"/>
  <c r="F32" i="35" s="1"/>
  <c r="B33" i="35" s="1"/>
  <c r="D33" i="35" l="1"/>
  <c r="C33" i="35"/>
  <c r="E33" i="35" s="1"/>
  <c r="F33" i="35" s="1"/>
  <c r="B34" i="35" s="1"/>
  <c r="D34" i="35" l="1"/>
  <c r="C34" i="35"/>
  <c r="E34" i="35" s="1"/>
  <c r="F34" i="35" s="1"/>
  <c r="B35" i="35" s="1"/>
  <c r="D35" i="35" l="1"/>
  <c r="C35" i="35"/>
  <c r="E35" i="35" s="1"/>
  <c r="F35" i="35" s="1"/>
  <c r="B36" i="35" s="1"/>
  <c r="C36" i="35" l="1"/>
  <c r="D36" i="35"/>
  <c r="E36" i="35" l="1"/>
  <c r="F36" i="35" s="1"/>
  <c r="B37" i="35" s="1"/>
  <c r="D37" i="35" l="1"/>
  <c r="C37" i="35"/>
  <c r="E37" i="35" s="1"/>
  <c r="F37" i="35"/>
  <c r="B38" i="35" s="1"/>
  <c r="D38" i="35" l="1"/>
  <c r="C38" i="35"/>
  <c r="E38" i="35" s="1"/>
  <c r="F38" i="35" s="1"/>
  <c r="B39" i="35" s="1"/>
  <c r="D39" i="35" l="1"/>
  <c r="C39" i="35"/>
  <c r="E39" i="35" s="1"/>
  <c r="F39" i="35" s="1"/>
  <c r="B40" i="35" s="1"/>
  <c r="D40" i="35" l="1"/>
  <c r="C40" i="35"/>
  <c r="E40" i="35" s="1"/>
  <c r="F40" i="35" s="1"/>
  <c r="B41" i="35" s="1"/>
  <c r="D41" i="35" l="1"/>
  <c r="C41" i="35"/>
  <c r="E41" i="35" s="1"/>
  <c r="F41" i="35" s="1"/>
  <c r="B42" i="35" s="1"/>
  <c r="D42" i="35" l="1"/>
  <c r="C42" i="35"/>
  <c r="E42" i="35" s="1"/>
  <c r="F42" i="35" s="1"/>
  <c r="B43" i="35" s="1"/>
  <c r="D43" i="35" l="1"/>
  <c r="C43" i="35"/>
  <c r="E43" i="35" s="1"/>
  <c r="F43" i="35" s="1"/>
  <c r="B44" i="35" s="1"/>
  <c r="D44" i="35" l="1"/>
  <c r="C44" i="35"/>
  <c r="E44" i="35" s="1"/>
  <c r="F44" i="35" s="1"/>
  <c r="B45" i="35" s="1"/>
  <c r="C45" i="35" l="1"/>
  <c r="D45" i="35"/>
  <c r="E45" i="35" l="1"/>
  <c r="F45" i="35" s="1"/>
  <c r="B46" i="35" s="1"/>
  <c r="D46" i="35" l="1"/>
  <c r="C46" i="35"/>
  <c r="E46" i="35" s="1"/>
  <c r="F46" i="35"/>
  <c r="B47" i="35" s="1"/>
  <c r="D47" i="35" l="1"/>
  <c r="C47" i="35"/>
  <c r="E47" i="35" s="1"/>
  <c r="F47" i="35" s="1"/>
  <c r="B48" i="35" s="1"/>
  <c r="D48" i="35" l="1"/>
  <c r="C48" i="35"/>
  <c r="E48" i="35" s="1"/>
  <c r="F48" i="35" s="1"/>
  <c r="B49" i="35" s="1"/>
  <c r="D49" i="35" l="1"/>
  <c r="C49" i="35"/>
  <c r="E49" i="35" s="1"/>
  <c r="F49" i="35" s="1"/>
  <c r="B50" i="35" s="1"/>
  <c r="D50" i="35" l="1"/>
  <c r="C50" i="35"/>
  <c r="E50" i="35" s="1"/>
  <c r="F50" i="35" s="1"/>
  <c r="B51" i="35" s="1"/>
  <c r="D51" i="35" l="1"/>
  <c r="C51" i="35"/>
  <c r="E51" i="35" s="1"/>
  <c r="F51" i="35" s="1"/>
  <c r="B52" i="35" s="1"/>
  <c r="D52" i="35" l="1"/>
  <c r="C52" i="35"/>
  <c r="E52" i="35" s="1"/>
  <c r="F52" i="35" s="1"/>
  <c r="B53" i="35" s="1"/>
  <c r="D53" i="35" l="1"/>
  <c r="C53" i="35"/>
  <c r="E53" i="35" s="1"/>
  <c r="F53" i="35" s="1"/>
  <c r="B54" i="35" s="1"/>
  <c r="D54" i="35" l="1"/>
  <c r="C54" i="35"/>
  <c r="E54" i="35" s="1"/>
  <c r="F54" i="35" s="1"/>
  <c r="B55" i="35" s="1"/>
  <c r="D55" i="35" l="1"/>
  <c r="C55" i="35"/>
  <c r="E55" i="35" s="1"/>
  <c r="F55" i="35" s="1"/>
  <c r="B56" i="35" s="1"/>
  <c r="D56" i="35" l="1"/>
  <c r="C56" i="35"/>
  <c r="E56" i="35" s="1"/>
  <c r="F56" i="35" s="1"/>
  <c r="B57" i="35" s="1"/>
  <c r="C57" i="35" l="1"/>
  <c r="D57" i="35"/>
  <c r="E57" i="35" l="1"/>
  <c r="F57" i="35" s="1"/>
  <c r="B58" i="35" s="1"/>
  <c r="D58" i="35" l="1"/>
  <c r="C58" i="35"/>
  <c r="E58" i="35" s="1"/>
  <c r="F58" i="35" s="1"/>
  <c r="B59" i="35" s="1"/>
  <c r="D59" i="35" l="1"/>
  <c r="C59" i="35"/>
  <c r="E59" i="35" s="1"/>
  <c r="F59" i="35" s="1"/>
  <c r="B60" i="35" s="1"/>
  <c r="D60" i="35" l="1"/>
  <c r="C60" i="35"/>
  <c r="E60" i="35" s="1"/>
  <c r="F60" i="35" s="1"/>
  <c r="B61" i="35" s="1"/>
  <c r="D61" i="35" l="1"/>
  <c r="C61" i="35"/>
  <c r="E61" i="35" s="1"/>
  <c r="F61" i="35" s="1"/>
  <c r="B62" i="35" s="1"/>
  <c r="D62" i="35" l="1"/>
  <c r="C62" i="35"/>
  <c r="E62" i="35" s="1"/>
  <c r="F62" i="35"/>
  <c r="B63" i="35" s="1"/>
  <c r="D63" i="35" l="1"/>
  <c r="C63" i="35"/>
  <c r="E63" i="35" s="1"/>
  <c r="F63" i="35" s="1"/>
  <c r="B64" i="35" s="1"/>
  <c r="C64" i="35" l="1"/>
  <c r="D64" i="35"/>
  <c r="E64" i="35" l="1"/>
  <c r="F64" i="35" s="1"/>
  <c r="B65" i="35" s="1"/>
  <c r="D65" i="35" l="1"/>
  <c r="C65" i="35"/>
  <c r="E65" i="35" s="1"/>
  <c r="F65" i="35" s="1"/>
  <c r="B66" i="35" s="1"/>
  <c r="D66" i="35" l="1"/>
  <c r="C66" i="35"/>
  <c r="E66" i="35" s="1"/>
  <c r="F66" i="35"/>
  <c r="B67" i="35" s="1"/>
  <c r="D67" i="35" l="1"/>
  <c r="C67" i="35"/>
  <c r="E67" i="35" s="1"/>
  <c r="F67" i="35" s="1"/>
  <c r="B68" i="35" s="1"/>
  <c r="D68" i="35" l="1"/>
  <c r="C68" i="35"/>
  <c r="E68" i="35" s="1"/>
  <c r="F68" i="35" s="1"/>
  <c r="B69" i="35" s="1"/>
  <c r="D69" i="35" l="1"/>
  <c r="C69" i="35"/>
  <c r="E69" i="35" s="1"/>
  <c r="F69" i="35" s="1"/>
  <c r="B70" i="35" s="1"/>
  <c r="D70" i="35" l="1"/>
  <c r="C70" i="35"/>
  <c r="E70" i="35" s="1"/>
  <c r="F70" i="35"/>
  <c r="B71" i="35" s="1"/>
  <c r="D71" i="35" l="1"/>
  <c r="C71" i="35"/>
  <c r="E71" i="35" s="1"/>
  <c r="F71" i="35" s="1"/>
  <c r="B72" i="35" s="1"/>
  <c r="C72" i="35" l="1"/>
  <c r="D72" i="35"/>
  <c r="E72" i="35" l="1"/>
  <c r="F72" i="35" s="1"/>
  <c r="B73" i="35" s="1"/>
  <c r="D73" i="35" l="1"/>
  <c r="C73" i="35"/>
  <c r="E73" i="35" s="1"/>
  <c r="F73" i="35" s="1"/>
  <c r="B74" i="35" s="1"/>
  <c r="D74" i="35" l="1"/>
  <c r="C74" i="35"/>
  <c r="E74" i="35" s="1"/>
  <c r="F74" i="35" s="1"/>
  <c r="B75" i="35" s="1"/>
  <c r="D75" i="35" l="1"/>
  <c r="C75" i="35"/>
  <c r="E75" i="35" s="1"/>
  <c r="F75" i="35" s="1"/>
  <c r="B76" i="35" s="1"/>
  <c r="D76" i="35" l="1"/>
  <c r="C76" i="35"/>
  <c r="E76" i="35" s="1"/>
  <c r="F76" i="35" s="1"/>
  <c r="B77" i="35" s="1"/>
  <c r="D77" i="35" l="1"/>
  <c r="C77" i="35"/>
  <c r="E77" i="35" s="1"/>
  <c r="F77" i="35"/>
  <c r="B78" i="35" s="1"/>
  <c r="D78" i="35" l="1"/>
  <c r="C78" i="35"/>
  <c r="E78" i="35" s="1"/>
  <c r="F78" i="35"/>
  <c r="B79" i="35" s="1"/>
  <c r="D79" i="35" l="1"/>
  <c r="C79" i="35"/>
  <c r="E79" i="35" s="1"/>
  <c r="F79" i="35" s="1"/>
  <c r="B80" i="35" s="1"/>
  <c r="C80" i="35" l="1"/>
  <c r="D80" i="35"/>
  <c r="E80" i="35" l="1"/>
  <c r="F80" i="35" s="1"/>
  <c r="B81" i="35" s="1"/>
  <c r="D81" i="35" l="1"/>
  <c r="C81" i="35"/>
  <c r="E81" i="35" s="1"/>
  <c r="F81" i="35" s="1"/>
  <c r="B82" i="35" s="1"/>
  <c r="D82" i="35" l="1"/>
  <c r="C82" i="35"/>
  <c r="E82" i="35" s="1"/>
  <c r="F82" i="35"/>
  <c r="B83" i="35" s="1"/>
  <c r="D83" i="35" l="1"/>
  <c r="C83" i="35"/>
  <c r="E83" i="35" s="1"/>
  <c r="F83" i="35" s="1"/>
  <c r="B84" i="35" s="1"/>
  <c r="D84" i="35" l="1"/>
  <c r="C84" i="35"/>
  <c r="E84" i="35" s="1"/>
  <c r="F84" i="35" s="1"/>
  <c r="B85" i="35" s="1"/>
  <c r="D85" i="35" l="1"/>
  <c r="C85" i="35"/>
  <c r="E85" i="35" s="1"/>
  <c r="F85" i="35"/>
  <c r="B86" i="35" s="1"/>
  <c r="D86" i="35" l="1"/>
  <c r="C86" i="35"/>
  <c r="E86" i="35" s="1"/>
  <c r="F86" i="35"/>
  <c r="B87" i="35" s="1"/>
  <c r="D87" i="35" l="1"/>
  <c r="C87" i="35"/>
  <c r="E87" i="35" s="1"/>
  <c r="F87" i="35" s="1"/>
  <c r="B88" i="35" s="1"/>
  <c r="C88" i="35" l="1"/>
  <c r="D88" i="35"/>
  <c r="E88" i="35" l="1"/>
  <c r="F88" i="35" s="1"/>
  <c r="B89" i="35" s="1"/>
  <c r="D89" i="35" l="1"/>
  <c r="C89" i="35"/>
  <c r="E89" i="35" s="1"/>
  <c r="F89" i="35" s="1"/>
  <c r="B90" i="35" s="1"/>
  <c r="D90" i="35" l="1"/>
  <c r="C90" i="35"/>
  <c r="E90" i="35" s="1"/>
  <c r="F90" i="35"/>
  <c r="B91" i="35" s="1"/>
  <c r="D91" i="35" l="1"/>
  <c r="C91" i="35"/>
  <c r="E91" i="35" s="1"/>
  <c r="F91" i="35" s="1"/>
  <c r="B92" i="35" s="1"/>
  <c r="C92" i="35" l="1"/>
  <c r="D92" i="35"/>
  <c r="E92" i="35" l="1"/>
  <c r="F92" i="35" s="1"/>
  <c r="B93" i="35" s="1"/>
  <c r="D93" i="35"/>
  <c r="C93" i="35"/>
  <c r="E93" i="35" s="1"/>
  <c r="F93" i="35" s="1"/>
  <c r="B94" i="35" s="1"/>
  <c r="D94" i="35" l="1"/>
  <c r="C94" i="35"/>
  <c r="E94" i="35" s="1"/>
  <c r="F94" i="35"/>
  <c r="B95" i="35" s="1"/>
  <c r="D95" i="35" l="1"/>
  <c r="C95" i="35"/>
  <c r="E95" i="35" s="1"/>
  <c r="F95" i="35" s="1"/>
  <c r="B96" i="35" s="1"/>
  <c r="C96" i="35" l="1"/>
  <c r="D96" i="35"/>
  <c r="E96" i="35" l="1"/>
  <c r="F96" i="35" s="1"/>
  <c r="B97" i="35" s="1"/>
  <c r="D97" i="35" l="1"/>
  <c r="C97" i="35"/>
  <c r="E97" i="35" s="1"/>
  <c r="F97" i="35" s="1"/>
  <c r="B98" i="35" s="1"/>
  <c r="D98" i="35" l="1"/>
  <c r="C98" i="35"/>
  <c r="E98" i="35" s="1"/>
  <c r="F98" i="35"/>
  <c r="B99" i="35" s="1"/>
  <c r="D99" i="35" l="1"/>
  <c r="C99" i="35"/>
  <c r="E99" i="35" s="1"/>
  <c r="F99" i="35" s="1"/>
  <c r="B100" i="35" s="1"/>
  <c r="C100" i="35" l="1"/>
  <c r="D100" i="35"/>
  <c r="E100" i="35" l="1"/>
  <c r="F100" i="35" s="1"/>
  <c r="B101" i="35" s="1"/>
  <c r="D101" i="35" l="1"/>
  <c r="C101" i="35"/>
  <c r="E101" i="35" s="1"/>
  <c r="F101" i="35" s="1"/>
  <c r="B102" i="35" s="1"/>
  <c r="D102" i="35" l="1"/>
  <c r="C102" i="35"/>
  <c r="E102" i="35" s="1"/>
  <c r="F102" i="35"/>
  <c r="B103" i="35" s="1"/>
  <c r="D103" i="35" l="1"/>
  <c r="C103" i="35"/>
  <c r="E103" i="35" s="1"/>
  <c r="F103" i="35" s="1"/>
  <c r="B104" i="35" s="1"/>
  <c r="C104" i="35" l="1"/>
  <c r="D104" i="35"/>
  <c r="E104" i="35" l="1"/>
  <c r="F104" i="35" s="1"/>
  <c r="B105" i="35" s="1"/>
  <c r="D105" i="35" l="1"/>
  <c r="C105" i="35"/>
  <c r="E105" i="35" s="1"/>
  <c r="F105" i="35" s="1"/>
  <c r="B106" i="35" s="1"/>
  <c r="D106" i="35" l="1"/>
  <c r="C106" i="35"/>
  <c r="E106" i="35" s="1"/>
  <c r="F106" i="35"/>
  <c r="B107" i="35" s="1"/>
  <c r="D107" i="35" l="1"/>
  <c r="C107" i="35"/>
  <c r="E107" i="35" s="1"/>
  <c r="F107" i="35" s="1"/>
  <c r="B108" i="35" s="1"/>
  <c r="C108" i="35" l="1"/>
  <c r="D108" i="35"/>
  <c r="E108" i="35" l="1"/>
  <c r="F108" i="35" s="1"/>
  <c r="B109" i="35" s="1"/>
  <c r="D109" i="35" l="1"/>
  <c r="C109" i="35"/>
  <c r="E109" i="35" s="1"/>
  <c r="F109" i="35" s="1"/>
  <c r="B110" i="35" s="1"/>
  <c r="D110" i="35" l="1"/>
  <c r="C110" i="35"/>
  <c r="E110" i="35" s="1"/>
  <c r="F110" i="35" s="1"/>
  <c r="B111" i="35" s="1"/>
  <c r="D111" i="35" l="1"/>
  <c r="C111" i="35"/>
  <c r="E111" i="35" s="1"/>
  <c r="F111" i="35" s="1"/>
  <c r="B112" i="35" s="1"/>
  <c r="C112" i="35" l="1"/>
  <c r="D112" i="35"/>
  <c r="E112" i="35" l="1"/>
  <c r="F112" i="35" s="1"/>
  <c r="B113" i="35" s="1"/>
  <c r="D113" i="35"/>
  <c r="C113" i="35"/>
  <c r="E113" i="35" s="1"/>
  <c r="F113" i="35" s="1"/>
  <c r="B114" i="35" s="1"/>
  <c r="D114" i="35" l="1"/>
  <c r="C114" i="35"/>
  <c r="E114" i="35" s="1"/>
  <c r="F114" i="35" s="1"/>
  <c r="B115" i="35" s="1"/>
  <c r="D115" i="35" l="1"/>
  <c r="C115" i="35"/>
  <c r="E115" i="35" s="1"/>
  <c r="F115" i="35" s="1"/>
  <c r="B116" i="35" s="1"/>
  <c r="C116" i="35" l="1"/>
  <c r="D116" i="35"/>
  <c r="E116" i="35" l="1"/>
  <c r="F116" i="35" s="1"/>
  <c r="B117" i="35" s="1"/>
  <c r="D117" i="35" l="1"/>
  <c r="C117" i="35"/>
  <c r="E117" i="35" s="1"/>
  <c r="F117" i="35" s="1"/>
  <c r="B118" i="35" s="1"/>
  <c r="D118" i="35" l="1"/>
  <c r="C118" i="35"/>
  <c r="E118" i="35" s="1"/>
  <c r="F118" i="35"/>
  <c r="B119" i="35" s="1"/>
  <c r="D119" i="35" l="1"/>
  <c r="C119" i="35"/>
  <c r="E119" i="35" s="1"/>
  <c r="F119" i="35" s="1"/>
  <c r="B120" i="35" s="1"/>
  <c r="C120" i="35" l="1"/>
  <c r="D120" i="35"/>
  <c r="E120" i="35" l="1"/>
  <c r="F120" i="35" s="1"/>
  <c r="B121" i="35" s="1"/>
  <c r="D121" i="35"/>
  <c r="C121" i="35"/>
  <c r="E121" i="35" s="1"/>
  <c r="F121" i="35" s="1"/>
  <c r="B122" i="35" s="1"/>
  <c r="D122" i="35" l="1"/>
  <c r="C122" i="35"/>
  <c r="E122" i="35" s="1"/>
  <c r="F122" i="35" s="1"/>
  <c r="B123" i="35" s="1"/>
  <c r="D123" i="35" l="1"/>
  <c r="C123" i="35"/>
  <c r="E123" i="35" s="1"/>
  <c r="F123" i="35" s="1"/>
  <c r="B124" i="35" s="1"/>
  <c r="C124" i="35" l="1"/>
  <c r="D124" i="35"/>
  <c r="E124" i="35" l="1"/>
  <c r="F124" i="35" s="1"/>
  <c r="B125" i="35" s="1"/>
  <c r="D125" i="35" l="1"/>
  <c r="C125" i="35"/>
  <c r="E125" i="35" s="1"/>
  <c r="F125" i="35" s="1"/>
  <c r="B126" i="35" s="1"/>
  <c r="D126" i="35" l="1"/>
  <c r="C126" i="35"/>
  <c r="E126" i="35" s="1"/>
  <c r="F126" i="35" s="1"/>
  <c r="B127" i="35" s="1"/>
  <c r="D127" i="35" l="1"/>
  <c r="C127" i="35"/>
  <c r="E127" i="35" s="1"/>
  <c r="F127" i="35" s="1"/>
  <c r="B128" i="35" s="1"/>
  <c r="D128" i="35" l="1"/>
  <c r="C128" i="35"/>
  <c r="E128" i="35" s="1"/>
  <c r="F128" i="35" s="1"/>
  <c r="B129" i="35" s="1"/>
  <c r="D129" i="35" l="1"/>
  <c r="C129" i="35"/>
  <c r="E129" i="35" s="1"/>
  <c r="F129" i="35" s="1"/>
  <c r="B130" i="35" s="1"/>
  <c r="C130" i="35" l="1"/>
  <c r="D130" i="35"/>
  <c r="E130" i="35" l="1"/>
  <c r="F130" i="35" s="1"/>
  <c r="B131" i="35" s="1"/>
  <c r="D131" i="35" l="1"/>
  <c r="C131" i="35"/>
  <c r="E131" i="35" s="1"/>
  <c r="F131" i="35"/>
  <c r="B132" i="35" s="1"/>
  <c r="D132" i="35" l="1"/>
  <c r="C132" i="35"/>
  <c r="E132" i="35" s="1"/>
  <c r="F132" i="35" s="1"/>
  <c r="B133" i="35" s="1"/>
  <c r="D133" i="35" l="1"/>
  <c r="C133" i="35"/>
  <c r="E133" i="35" s="1"/>
  <c r="F133" i="35" s="1"/>
  <c r="B134" i="35" s="1"/>
  <c r="D134" i="35" l="1"/>
  <c r="C134" i="35"/>
  <c r="E134" i="35" s="1"/>
  <c r="F134" i="35" s="1"/>
  <c r="B135" i="35" s="1"/>
  <c r="D135" i="35" l="1"/>
  <c r="C135" i="35"/>
  <c r="E135" i="35" s="1"/>
  <c r="F135" i="35" s="1"/>
  <c r="B136" i="35" s="1"/>
  <c r="D136" i="35" l="1"/>
  <c r="C136" i="35"/>
  <c r="E136" i="35" s="1"/>
  <c r="F136" i="35" s="1"/>
  <c r="B137" i="35" s="1"/>
  <c r="D137" i="35" l="1"/>
  <c r="C137" i="35"/>
  <c r="E137" i="35" s="1"/>
  <c r="F137" i="35" s="1"/>
  <c r="B138" i="35" s="1"/>
  <c r="D138" i="35" l="1"/>
  <c r="C138" i="35"/>
  <c r="E138" i="35" s="1"/>
  <c r="F138" i="35" s="1"/>
  <c r="B139" i="35" s="1"/>
  <c r="D139" i="35" l="1"/>
  <c r="C139" i="35"/>
  <c r="E139" i="35" s="1"/>
  <c r="F139" i="35" s="1"/>
  <c r="B140" i="35" s="1"/>
  <c r="D140" i="35" l="1"/>
  <c r="C140" i="35"/>
  <c r="E140" i="35" s="1"/>
  <c r="F140" i="35" s="1"/>
  <c r="B141" i="35" s="1"/>
  <c r="C141" i="35" l="1"/>
  <c r="D141" i="35"/>
  <c r="E141" i="35" l="1"/>
  <c r="F141" i="35" s="1"/>
  <c r="B142" i="35" s="1"/>
  <c r="C142" i="35" l="1"/>
  <c r="D142" i="35"/>
  <c r="E142" i="35" l="1"/>
  <c r="F142" i="35" s="1"/>
  <c r="B143" i="35" s="1"/>
  <c r="D143" i="35" l="1"/>
  <c r="C143" i="35"/>
  <c r="E143" i="35" s="1"/>
  <c r="F143" i="35" s="1"/>
  <c r="B144" i="35" s="1"/>
  <c r="D144" i="35" l="1"/>
  <c r="C144" i="35"/>
  <c r="E144" i="35" s="1"/>
  <c r="F144" i="35" s="1"/>
  <c r="B145" i="35" s="1"/>
  <c r="D145" i="35" l="1"/>
  <c r="C145" i="35"/>
  <c r="E145" i="35" s="1"/>
  <c r="F145" i="35" s="1"/>
  <c r="B146" i="35" s="1"/>
  <c r="D146" i="35" l="1"/>
  <c r="C146" i="35"/>
  <c r="E146" i="35" l="1"/>
  <c r="F146" i="35" s="1"/>
  <c r="B147" i="35" s="1"/>
  <c r="D147" i="35"/>
  <c r="C147" i="35"/>
  <c r="E147" i="35" s="1"/>
  <c r="F147" i="35" s="1"/>
  <c r="B148" i="35" s="1"/>
  <c r="D148" i="35" l="1"/>
  <c r="C148" i="35"/>
  <c r="E148" i="35" s="1"/>
  <c r="F148" i="35" s="1"/>
  <c r="B149" i="35" s="1"/>
  <c r="D149" i="35" l="1"/>
  <c r="C149" i="35"/>
  <c r="E149" i="35" s="1"/>
  <c r="F149" i="35" s="1"/>
  <c r="B150" i="35" s="1"/>
  <c r="C150" i="35" l="1"/>
  <c r="D150" i="35"/>
  <c r="E150" i="35" l="1"/>
  <c r="F150" i="35" s="1"/>
  <c r="B151" i="35" s="1"/>
  <c r="D151" i="35" l="1"/>
  <c r="C151" i="35"/>
  <c r="E151" i="35" s="1"/>
  <c r="F151" i="35" s="1"/>
  <c r="B152" i="35" s="1"/>
  <c r="D152" i="35" l="1"/>
  <c r="C152" i="35"/>
  <c r="E152" i="35" s="1"/>
  <c r="F152" i="35" s="1"/>
  <c r="B153" i="35" s="1"/>
  <c r="D153" i="35" l="1"/>
  <c r="C153" i="35"/>
  <c r="E153" i="35" s="1"/>
  <c r="F153" i="35" s="1"/>
  <c r="B154" i="35" s="1"/>
  <c r="C154" i="35" l="1"/>
  <c r="D154" i="35"/>
  <c r="E154" i="35" l="1"/>
  <c r="F154" i="35" s="1"/>
  <c r="B155" i="35" s="1"/>
  <c r="D155" i="35" l="1"/>
  <c r="C155" i="35"/>
  <c r="E155" i="35" s="1"/>
  <c r="F155" i="35" s="1"/>
  <c r="B156" i="35" s="1"/>
  <c r="D156" i="35" l="1"/>
  <c r="C156" i="35"/>
  <c r="E156" i="35" s="1"/>
  <c r="F156" i="35" s="1"/>
  <c r="B157" i="35" s="1"/>
  <c r="D157" i="35" l="1"/>
  <c r="C157" i="35"/>
  <c r="E157" i="35" s="1"/>
  <c r="F157" i="35" s="1"/>
  <c r="B158" i="35" s="1"/>
  <c r="C158" i="35" l="1"/>
  <c r="D158" i="35"/>
  <c r="E158" i="35" l="1"/>
  <c r="F158" i="35" s="1"/>
  <c r="B159" i="35" s="1"/>
  <c r="D159" i="35" l="1"/>
  <c r="C159" i="35"/>
  <c r="E159" i="35" s="1"/>
  <c r="F159" i="35" s="1"/>
  <c r="B160" i="35" s="1"/>
  <c r="D160" i="35" l="1"/>
  <c r="C160" i="35"/>
  <c r="E160" i="35" l="1"/>
  <c r="F160" i="35" s="1"/>
  <c r="B161" i="35" s="1"/>
  <c r="D161" i="35"/>
  <c r="C161" i="35"/>
  <c r="E161" i="35" s="1"/>
  <c r="F161" i="35" s="1"/>
  <c r="B162" i="35" s="1"/>
  <c r="C162" i="35" l="1"/>
  <c r="D162" i="35"/>
  <c r="E162" i="35" l="1"/>
  <c r="F162" i="35" s="1"/>
  <c r="B163" i="35" s="1"/>
  <c r="D163" i="35" l="1"/>
  <c r="C163" i="35"/>
  <c r="E163" i="35" l="1"/>
  <c r="F163" i="35" s="1"/>
  <c r="B164" i="35" s="1"/>
  <c r="D164" i="35"/>
  <c r="C164" i="35"/>
  <c r="E164" i="35" s="1"/>
  <c r="F164" i="35" s="1"/>
  <c r="B165" i="35" s="1"/>
  <c r="D165" i="35" l="1"/>
  <c r="C165" i="35"/>
  <c r="E165" i="35" l="1"/>
  <c r="F165" i="35" s="1"/>
  <c r="B166" i="35" s="1"/>
  <c r="C166" i="35"/>
  <c r="D166" i="35"/>
  <c r="E166" i="35" l="1"/>
  <c r="F166" i="35" s="1"/>
  <c r="B167" i="35" s="1"/>
  <c r="D167" i="35" l="1"/>
  <c r="C167" i="35"/>
  <c r="E167" i="35" s="1"/>
  <c r="F167" i="35" s="1"/>
  <c r="B168" i="35" s="1"/>
  <c r="D168" i="35" l="1"/>
  <c r="C168" i="35"/>
  <c r="E168" i="35" l="1"/>
  <c r="F168" i="35" s="1"/>
  <c r="B169" i="35" s="1"/>
  <c r="D169" i="35"/>
  <c r="C169" i="35"/>
  <c r="E169" i="35" s="1"/>
  <c r="F169" i="35" s="1"/>
  <c r="B170" i="35" s="1"/>
  <c r="C170" i="35" l="1"/>
  <c r="D170" i="35"/>
  <c r="E170" i="35" l="1"/>
  <c r="F170" i="35" s="1"/>
  <c r="B171" i="35" s="1"/>
  <c r="D171" i="35" l="1"/>
  <c r="C171" i="35"/>
  <c r="E171" i="35" s="1"/>
  <c r="F171" i="35"/>
  <c r="B172" i="35" s="1"/>
  <c r="D172" i="35" l="1"/>
  <c r="C172" i="35"/>
  <c r="E172" i="35" s="1"/>
  <c r="F172" i="35" s="1"/>
  <c r="B173" i="35" s="1"/>
  <c r="D173" i="35" l="1"/>
  <c r="C173" i="35"/>
  <c r="E173" i="35" s="1"/>
  <c r="F173" i="35" s="1"/>
  <c r="B174" i="35" s="1"/>
  <c r="C174" i="35" l="1"/>
  <c r="D174" i="35"/>
  <c r="E174" i="35" l="1"/>
  <c r="F174" i="35" s="1"/>
  <c r="B175" i="35" s="1"/>
  <c r="D175" i="35" l="1"/>
  <c r="C175" i="35"/>
  <c r="E175" i="35" s="1"/>
  <c r="F175" i="35"/>
  <c r="B176" i="35" s="1"/>
  <c r="D176" i="35" l="1"/>
  <c r="C176" i="35"/>
  <c r="E176" i="35" s="1"/>
  <c r="F176" i="35" s="1"/>
  <c r="B177" i="35" s="1"/>
  <c r="D177" i="35" l="1"/>
  <c r="C177" i="35"/>
  <c r="E177" i="35" s="1"/>
  <c r="F177" i="35" s="1"/>
  <c r="B178" i="35" s="1"/>
  <c r="C178" i="35" l="1"/>
  <c r="D178" i="35"/>
  <c r="E178" i="35" l="1"/>
  <c r="F178" i="35" s="1"/>
  <c r="B179" i="35" s="1"/>
  <c r="D179" i="35" l="1"/>
  <c r="C179" i="35"/>
  <c r="E179" i="35" s="1"/>
  <c r="F179" i="35"/>
  <c r="B180" i="35" s="1"/>
  <c r="D180" i="35" l="1"/>
  <c r="C180" i="35"/>
  <c r="E180" i="35" s="1"/>
  <c r="F180" i="35" s="1"/>
  <c r="B181" i="35" s="1"/>
  <c r="D181" i="35" l="1"/>
  <c r="C181" i="35"/>
  <c r="E181" i="35" s="1"/>
  <c r="F181" i="35" s="1"/>
  <c r="B182" i="35" s="1"/>
  <c r="C182" i="35" l="1"/>
  <c r="D182" i="35"/>
  <c r="E182" i="35" l="1"/>
  <c r="F182" i="35" s="1"/>
  <c r="B183" i="35" s="1"/>
  <c r="D183" i="35"/>
  <c r="C183" i="35"/>
  <c r="E183" i="35" s="1"/>
  <c r="F183" i="35"/>
  <c r="B184" i="35" s="1"/>
  <c r="D184" i="35" l="1"/>
  <c r="C184" i="35"/>
  <c r="E184" i="35" s="1"/>
  <c r="F184" i="35" s="1"/>
  <c r="B185" i="35" s="1"/>
  <c r="D185" i="35" l="1"/>
  <c r="C185" i="35"/>
  <c r="E185" i="35" s="1"/>
  <c r="F185" i="35" s="1"/>
  <c r="B186" i="35" s="1"/>
  <c r="C186" i="35" l="1"/>
  <c r="D186" i="35"/>
  <c r="E186" i="35" l="1"/>
  <c r="F186" i="35" s="1"/>
  <c r="B187" i="35" s="1"/>
  <c r="D187" i="35" l="1"/>
  <c r="C187" i="35"/>
  <c r="E187" i="35" s="1"/>
  <c r="F187" i="35"/>
  <c r="B188" i="35" s="1"/>
  <c r="D188" i="35" l="1"/>
  <c r="C188" i="35"/>
  <c r="E188" i="35" s="1"/>
  <c r="F188" i="35" s="1"/>
  <c r="B189" i="35" s="1"/>
  <c r="D189" i="35" l="1"/>
  <c r="C189" i="35"/>
  <c r="E189" i="35" s="1"/>
  <c r="F189" i="35" s="1"/>
  <c r="B190" i="35" s="1"/>
  <c r="C190" i="35" l="1"/>
  <c r="D190" i="35"/>
  <c r="E190" i="35" l="1"/>
  <c r="F190" i="35" s="1"/>
  <c r="B191" i="35" s="1"/>
  <c r="D191" i="35" l="1"/>
  <c r="C191" i="35"/>
  <c r="E191" i="35" s="1"/>
  <c r="F191" i="35" s="1"/>
  <c r="B192" i="35" s="1"/>
  <c r="D192" i="35" l="1"/>
  <c r="C192" i="35"/>
  <c r="E192" i="35" s="1"/>
  <c r="F192" i="35" s="1"/>
  <c r="B193" i="35" s="1"/>
  <c r="D193" i="35" l="1"/>
  <c r="C193" i="35"/>
  <c r="E193" i="35" s="1"/>
  <c r="F193" i="35" s="1"/>
  <c r="B194" i="35" s="1"/>
  <c r="C194" i="35" l="1"/>
  <c r="D194" i="35"/>
  <c r="E194" i="35" l="1"/>
  <c r="F194" i="35" s="1"/>
  <c r="B195" i="35" s="1"/>
  <c r="D195" i="35" l="1"/>
  <c r="C195" i="35"/>
  <c r="E195" i="35" s="1"/>
  <c r="F195" i="35"/>
  <c r="B196" i="35" s="1"/>
  <c r="D196" i="35" l="1"/>
  <c r="C196" i="35"/>
  <c r="E196" i="35" s="1"/>
  <c r="F196" i="35" s="1"/>
  <c r="B197" i="35" s="1"/>
  <c r="D197" i="35" l="1"/>
  <c r="C197" i="35"/>
  <c r="E197" i="35" s="1"/>
  <c r="F197" i="35" s="1"/>
  <c r="B198" i="35" s="1"/>
  <c r="C198" i="35" l="1"/>
  <c r="D198" i="35"/>
  <c r="E198" i="35" l="1"/>
  <c r="F198" i="35" s="1"/>
  <c r="B199" i="35" s="1"/>
  <c r="D199" i="35" l="1"/>
  <c r="C199" i="35"/>
  <c r="E199" i="35" s="1"/>
  <c r="F199" i="35" s="1"/>
  <c r="B200" i="35" s="1"/>
  <c r="D200" i="35" l="1"/>
  <c r="C200" i="35"/>
  <c r="E200" i="35" s="1"/>
  <c r="F200" i="35" s="1"/>
  <c r="B201" i="35" s="1"/>
  <c r="D201" i="35" l="1"/>
  <c r="C201" i="35"/>
  <c r="E201" i="35" s="1"/>
  <c r="F201" i="35" s="1"/>
  <c r="B202" i="35" s="1"/>
  <c r="C202" i="35" l="1"/>
  <c r="D202" i="35"/>
  <c r="E202" i="35" l="1"/>
  <c r="F202" i="35" s="1"/>
  <c r="B203" i="35" s="1"/>
  <c r="D203" i="35" l="1"/>
  <c r="C203" i="35"/>
  <c r="E203" i="35" s="1"/>
  <c r="F203" i="35" s="1"/>
  <c r="B204" i="35" s="1"/>
  <c r="C204" i="35" l="1"/>
  <c r="D204" i="35"/>
  <c r="E204" i="35" l="1"/>
  <c r="F204" i="35" s="1"/>
  <c r="B205" i="35" s="1"/>
  <c r="C205" i="35" l="1"/>
  <c r="D205" i="35"/>
  <c r="E205" i="35" l="1"/>
  <c r="F205" i="35" s="1"/>
  <c r="B206" i="35" s="1"/>
  <c r="D206" i="35" l="1"/>
  <c r="C206" i="35"/>
  <c r="E206" i="35" s="1"/>
  <c r="F206" i="35" s="1"/>
  <c r="B207" i="35" s="1"/>
  <c r="D207" i="35" l="1"/>
  <c r="C207" i="35"/>
  <c r="E207" i="35" s="1"/>
  <c r="F207" i="35" s="1"/>
  <c r="B208" i="35" s="1"/>
  <c r="C208" i="35" l="1"/>
  <c r="D208" i="35"/>
  <c r="E208" i="35" l="1"/>
  <c r="F208" i="35" s="1"/>
  <c r="B209" i="35" s="1"/>
  <c r="D209" i="35"/>
  <c r="C209" i="35"/>
  <c r="E209" i="35" s="1"/>
  <c r="F209" i="35" s="1"/>
  <c r="B210" i="35" s="1"/>
  <c r="D210" i="35" l="1"/>
  <c r="C210" i="35"/>
  <c r="E210" i="35" s="1"/>
  <c r="F210" i="35" s="1"/>
  <c r="B211" i="35" s="1"/>
  <c r="D211" i="35" l="1"/>
  <c r="C211" i="35"/>
  <c r="E211" i="35" s="1"/>
  <c r="F211" i="35" s="1"/>
  <c r="B212" i="35" s="1"/>
  <c r="D212" i="35" l="1"/>
  <c r="C212" i="35"/>
  <c r="E212" i="35" s="1"/>
  <c r="F212" i="35" s="1"/>
  <c r="B213" i="35" s="1"/>
  <c r="D213" i="35" l="1"/>
  <c r="C213" i="35"/>
  <c r="E213" i="35" s="1"/>
  <c r="F213" i="35" s="1"/>
  <c r="B214" i="35" s="1"/>
  <c r="D214" i="35" l="1"/>
  <c r="C214" i="35"/>
  <c r="E214" i="35" s="1"/>
  <c r="F214" i="35" s="1"/>
  <c r="B215" i="35" s="1"/>
  <c r="D215" i="35" l="1"/>
  <c r="C215" i="35"/>
  <c r="E215" i="35" s="1"/>
  <c r="F215" i="35" s="1"/>
  <c r="B216" i="35" s="1"/>
  <c r="D216" i="35" l="1"/>
  <c r="C216" i="35"/>
  <c r="E216" i="35" s="1"/>
  <c r="F216" i="35" s="1"/>
  <c r="B217" i="35" s="1"/>
  <c r="D217" i="35" l="1"/>
  <c r="C217" i="35"/>
  <c r="E217" i="35" s="1"/>
  <c r="F217" i="35" s="1"/>
  <c r="B218" i="35" s="1"/>
  <c r="D218" i="35" l="1"/>
  <c r="C218" i="35"/>
  <c r="E218" i="35" s="1"/>
  <c r="F218" i="35" s="1"/>
  <c r="B219" i="35" s="1"/>
  <c r="D219" i="35" l="1"/>
  <c r="C219" i="35"/>
  <c r="E219" i="35" s="1"/>
  <c r="F219" i="35" s="1"/>
  <c r="B220" i="35" s="1"/>
  <c r="D220" i="35" l="1"/>
  <c r="C220" i="35"/>
  <c r="E220" i="35" s="1"/>
  <c r="F220" i="35" s="1"/>
  <c r="B221" i="35" s="1"/>
  <c r="C221" i="35" l="1"/>
  <c r="D221" i="35"/>
  <c r="E221" i="35" l="1"/>
  <c r="F221" i="35" s="1"/>
  <c r="B222" i="35" s="1"/>
  <c r="D222" i="35"/>
  <c r="C222" i="35"/>
  <c r="E222" i="35" s="1"/>
  <c r="F222" i="35" s="1"/>
  <c r="B223" i="35" s="1"/>
  <c r="D223" i="35" l="1"/>
  <c r="C223" i="35"/>
  <c r="E223" i="35" s="1"/>
  <c r="F223" i="35" s="1"/>
  <c r="B224" i="35" s="1"/>
  <c r="D224" i="35" l="1"/>
  <c r="C224" i="35"/>
  <c r="E224" i="35" s="1"/>
  <c r="F224" i="35" s="1"/>
  <c r="B225" i="35" s="1"/>
  <c r="D225" i="35" l="1"/>
  <c r="C225" i="35"/>
  <c r="E225" i="35" s="1"/>
  <c r="F225" i="35" s="1"/>
  <c r="B226" i="35" s="1"/>
  <c r="D226" i="35" l="1"/>
  <c r="C226" i="35"/>
  <c r="E226" i="35" s="1"/>
  <c r="F226" i="35"/>
  <c r="B227" i="35" s="1"/>
  <c r="D227" i="35" l="1"/>
  <c r="C227" i="35"/>
  <c r="E227" i="35" s="1"/>
  <c r="F227" i="35" s="1"/>
  <c r="B228" i="35" s="1"/>
  <c r="D228" i="35" l="1"/>
  <c r="C228" i="35"/>
  <c r="E228" i="35" s="1"/>
  <c r="F228" i="35" s="1"/>
  <c r="B229" i="35" s="1"/>
  <c r="D229" i="35" l="1"/>
  <c r="C229" i="35"/>
  <c r="E229" i="35" s="1"/>
  <c r="F229" i="35" s="1"/>
  <c r="B230" i="35" s="1"/>
  <c r="D230" i="35" l="1"/>
  <c r="C230" i="35"/>
  <c r="E230" i="35" s="1"/>
  <c r="F230" i="35"/>
  <c r="B231" i="35" s="1"/>
  <c r="D231" i="35" l="1"/>
  <c r="C231" i="35"/>
  <c r="E231" i="35" s="1"/>
  <c r="F231" i="35" s="1"/>
  <c r="B232" i="35" s="1"/>
  <c r="D232" i="35" l="1"/>
  <c r="C232" i="35"/>
  <c r="E232" i="35" s="1"/>
  <c r="F232" i="35" s="1"/>
  <c r="B233" i="35" s="1"/>
  <c r="D233" i="35" l="1"/>
  <c r="C233" i="35"/>
  <c r="E233" i="35" s="1"/>
  <c r="F233" i="35" s="1"/>
  <c r="B234" i="35" s="1"/>
  <c r="D234" i="35" l="1"/>
  <c r="C234" i="35"/>
  <c r="E234" i="35" l="1"/>
  <c r="F234" i="35" s="1"/>
  <c r="B235" i="35" s="1"/>
  <c r="D235" i="35" l="1"/>
  <c r="C235" i="35"/>
  <c r="E235" i="35" s="1"/>
  <c r="F235" i="35" s="1"/>
  <c r="B236" i="35" s="1"/>
  <c r="D236" i="35" l="1"/>
  <c r="C236" i="35"/>
  <c r="E236" i="35" s="1"/>
  <c r="F236" i="35" s="1"/>
  <c r="B237" i="35" s="1"/>
  <c r="C237" i="35" l="1"/>
  <c r="D237" i="35"/>
  <c r="E237" i="35" l="1"/>
  <c r="F237" i="35" s="1"/>
  <c r="B238" i="35" s="1"/>
  <c r="D238" i="35" l="1"/>
  <c r="C238" i="35"/>
  <c r="E238" i="35" l="1"/>
  <c r="F238" i="35" s="1"/>
  <c r="B239" i="35" s="1"/>
  <c r="D239" i="35" l="1"/>
  <c r="C239" i="35"/>
  <c r="E239" i="35" s="1"/>
  <c r="F239" i="35" s="1"/>
  <c r="B240" i="35" s="1"/>
  <c r="D240" i="35" l="1"/>
  <c r="C240" i="35"/>
  <c r="E240" i="35" s="1"/>
  <c r="F240" i="35" s="1"/>
  <c r="B241" i="35" s="1"/>
  <c r="D241" i="35" l="1"/>
  <c r="C241" i="35"/>
  <c r="E241" i="35" s="1"/>
  <c r="F241" i="35" s="1"/>
  <c r="B242" i="35" s="1"/>
  <c r="D242" i="35" l="1"/>
  <c r="C242" i="35"/>
  <c r="E242" i="35" s="1"/>
  <c r="F242" i="35" s="1"/>
  <c r="B243" i="35" s="1"/>
  <c r="D243" i="35" l="1"/>
  <c r="C243" i="35"/>
  <c r="E243" i="35" s="1"/>
  <c r="F243" i="35" s="1"/>
  <c r="B244" i="35" s="1"/>
  <c r="D244" i="35" l="1"/>
  <c r="C244" i="35"/>
  <c r="E244" i="35" s="1"/>
  <c r="F244" i="35" s="1"/>
  <c r="B245" i="35" s="1"/>
  <c r="D245" i="35" l="1"/>
  <c r="C245" i="35"/>
  <c r="E245" i="35" s="1"/>
  <c r="F245" i="35" s="1"/>
  <c r="B246" i="35" s="1"/>
  <c r="D246" i="35" l="1"/>
  <c r="C246" i="35"/>
  <c r="E246" i="35" s="1"/>
  <c r="F246" i="35" s="1"/>
  <c r="B247" i="35" s="1"/>
  <c r="D247" i="35" l="1"/>
  <c r="C247" i="35"/>
  <c r="E247" i="35" s="1"/>
  <c r="F247" i="35" s="1"/>
  <c r="B248" i="35" s="1"/>
  <c r="D248" i="35" l="1"/>
  <c r="C248" i="35"/>
  <c r="E248" i="35" s="1"/>
  <c r="F248" i="35" s="1"/>
  <c r="B249" i="35" s="1"/>
  <c r="D249" i="35" l="1"/>
  <c r="C249" i="35"/>
  <c r="E249" i="35" s="1"/>
  <c r="F249" i="35" s="1"/>
  <c r="B250" i="35" s="1"/>
  <c r="D250" i="35" l="1"/>
  <c r="C250" i="35"/>
  <c r="E250" i="35" s="1"/>
  <c r="F250" i="35"/>
  <c r="B251" i="35" s="1"/>
  <c r="D251" i="35" l="1"/>
  <c r="C251" i="35"/>
  <c r="E251" i="35" s="1"/>
  <c r="F251" i="35" s="1"/>
  <c r="B252" i="35" s="1"/>
  <c r="D252" i="35" l="1"/>
  <c r="C252" i="35"/>
  <c r="E252" i="35" s="1"/>
  <c r="F252" i="35" s="1"/>
  <c r="B253" i="35" s="1"/>
  <c r="C253" i="35" l="1"/>
  <c r="D253" i="35"/>
  <c r="E253" i="35" l="1"/>
  <c r="F253" i="35" s="1"/>
  <c r="B254" i="35" s="1"/>
  <c r="D254" i="35" l="1"/>
  <c r="C254" i="35"/>
  <c r="E254" i="35" s="1"/>
  <c r="F254" i="35"/>
  <c r="B255" i="35" s="1"/>
  <c r="D255" i="35" l="1"/>
  <c r="C255" i="35"/>
  <c r="E255" i="35" s="1"/>
  <c r="F255" i="35" s="1"/>
  <c r="B256" i="35" s="1"/>
  <c r="D256" i="35" l="1"/>
  <c r="C256" i="35"/>
  <c r="E256" i="35" s="1"/>
  <c r="F256" i="35" s="1"/>
  <c r="B257" i="35" s="1"/>
  <c r="C257" i="35" l="1"/>
  <c r="D257" i="35"/>
  <c r="E257" i="35" l="1"/>
  <c r="F257" i="35" s="1"/>
  <c r="B258" i="35" s="1"/>
  <c r="D258" i="35" l="1"/>
  <c r="C258" i="35"/>
  <c r="E258" i="35" s="1"/>
  <c r="F258" i="35" s="1"/>
  <c r="B259" i="35" s="1"/>
  <c r="D259" i="35" l="1"/>
  <c r="C259" i="35"/>
  <c r="E259" i="35" s="1"/>
  <c r="F259" i="35" s="1"/>
  <c r="B260" i="35" s="1"/>
  <c r="D260" i="35" l="1"/>
  <c r="C260" i="35"/>
  <c r="E260" i="35" s="1"/>
  <c r="F260" i="35" s="1"/>
  <c r="B261" i="35" s="1"/>
  <c r="D261" i="35" l="1"/>
  <c r="C261" i="35"/>
  <c r="E261" i="35" s="1"/>
  <c r="F261" i="35" s="1"/>
  <c r="B262" i="35" s="1"/>
  <c r="D262" i="35" l="1"/>
  <c r="C262" i="35"/>
  <c r="E262" i="35" s="1"/>
  <c r="F262" i="35"/>
  <c r="B263" i="35" s="1"/>
  <c r="D263" i="35" l="1"/>
  <c r="C263" i="35"/>
  <c r="E263" i="35" s="1"/>
  <c r="F263" i="35" s="1"/>
  <c r="B264" i="35" s="1"/>
  <c r="D264" i="35" l="1"/>
  <c r="C264" i="35"/>
  <c r="E264" i="35" s="1"/>
  <c r="F264" i="35" s="1"/>
  <c r="B265" i="35" s="1"/>
  <c r="D265" i="35" l="1"/>
  <c r="C265" i="35"/>
  <c r="E265" i="35" s="1"/>
  <c r="F265" i="35" s="1"/>
  <c r="B266" i="35" s="1"/>
  <c r="D266" i="35" l="1"/>
  <c r="C266" i="35"/>
  <c r="E266" i="35" s="1"/>
  <c r="F266" i="35" s="1"/>
  <c r="B267" i="35" s="1"/>
  <c r="D267" i="35" l="1"/>
  <c r="C267" i="35"/>
  <c r="E267" i="35" s="1"/>
  <c r="F267" i="35" s="1"/>
  <c r="B268" i="35" s="1"/>
  <c r="D268" i="35" l="1"/>
  <c r="C268" i="35"/>
  <c r="E268" i="35" l="1"/>
  <c r="F268" i="35" s="1"/>
  <c r="B269" i="35" s="1"/>
  <c r="D269" i="35" l="1"/>
  <c r="C269" i="35"/>
  <c r="E269" i="35" s="1"/>
  <c r="F269" i="35" s="1"/>
  <c r="B270" i="35" s="1"/>
  <c r="D270" i="35" l="1"/>
  <c r="C270" i="35"/>
  <c r="E270" i="35" s="1"/>
  <c r="F270" i="35" s="1"/>
  <c r="B271" i="35" s="1"/>
  <c r="D271" i="35" l="1"/>
  <c r="C271" i="35"/>
  <c r="E271" i="35" s="1"/>
  <c r="F271" i="35" s="1"/>
  <c r="B272" i="35" s="1"/>
  <c r="D272" i="35" l="1"/>
  <c r="C272" i="35"/>
  <c r="E272" i="35" s="1"/>
  <c r="F272" i="35" s="1"/>
  <c r="B273" i="35" s="1"/>
  <c r="D273" i="35" l="1"/>
  <c r="C273" i="35"/>
  <c r="E273" i="35" s="1"/>
  <c r="F273" i="35" s="1"/>
  <c r="B274" i="35" s="1"/>
  <c r="D274" i="35" l="1"/>
  <c r="C274" i="35"/>
  <c r="E274" i="35" s="1"/>
  <c r="F274" i="35" s="1"/>
  <c r="B275" i="35" s="1"/>
  <c r="D275" i="35" l="1"/>
  <c r="C275" i="35"/>
  <c r="E275" i="35" s="1"/>
  <c r="F275" i="35" s="1"/>
  <c r="B276" i="35" s="1"/>
  <c r="D276" i="35" l="1"/>
  <c r="C276" i="35"/>
  <c r="E276" i="35" s="1"/>
  <c r="F276" i="35" s="1"/>
  <c r="B277" i="35" s="1"/>
  <c r="D277" i="35" l="1"/>
  <c r="C277" i="35"/>
  <c r="E277" i="35" s="1"/>
  <c r="F277" i="35" s="1"/>
  <c r="B278" i="35" s="1"/>
  <c r="D278" i="35" l="1"/>
  <c r="C278" i="35"/>
  <c r="E278" i="35" s="1"/>
  <c r="F278" i="35" s="1"/>
  <c r="B279" i="35" s="1"/>
  <c r="D279" i="35" l="1"/>
  <c r="C279" i="35"/>
  <c r="E279" i="35" s="1"/>
  <c r="F279" i="35" s="1"/>
  <c r="B280" i="35" s="1"/>
  <c r="D280" i="35" l="1"/>
  <c r="C280" i="35"/>
  <c r="E280" i="35" s="1"/>
  <c r="F280" i="35" s="1"/>
  <c r="B281" i="35" s="1"/>
  <c r="D281" i="35" l="1"/>
  <c r="C281" i="35"/>
  <c r="E281" i="35" s="1"/>
  <c r="F281" i="35" s="1"/>
  <c r="B282" i="35" s="1"/>
  <c r="D282" i="35" l="1"/>
  <c r="C282" i="35"/>
  <c r="E282" i="35" s="1"/>
  <c r="F282" i="35" s="1"/>
  <c r="B283" i="35" s="1"/>
  <c r="D283" i="35" l="1"/>
  <c r="C283" i="35"/>
  <c r="E283" i="35" s="1"/>
  <c r="F283" i="35" s="1"/>
  <c r="B284" i="35" s="1"/>
  <c r="D284" i="35" l="1"/>
  <c r="C284" i="35"/>
  <c r="E284" i="35" s="1"/>
  <c r="F284" i="35"/>
  <c r="B285" i="35" s="1"/>
  <c r="D285" i="35" l="1"/>
  <c r="C285" i="35"/>
  <c r="E285" i="35" s="1"/>
  <c r="F285" i="35" s="1"/>
  <c r="B286" i="35" s="1"/>
  <c r="D286" i="35" l="1"/>
  <c r="C286" i="35"/>
  <c r="E286" i="35" s="1"/>
  <c r="F286" i="35" s="1"/>
  <c r="B287" i="35" s="1"/>
  <c r="D287" i="35" l="1"/>
  <c r="C287" i="35"/>
  <c r="E287" i="35" s="1"/>
  <c r="F287" i="35" s="1"/>
  <c r="B288" i="35" s="1"/>
  <c r="D288" i="35" l="1"/>
  <c r="C288" i="35"/>
  <c r="E288" i="35" s="1"/>
  <c r="F288" i="35" s="1"/>
  <c r="B289" i="35" s="1"/>
  <c r="D289" i="35" l="1"/>
  <c r="C289" i="35"/>
  <c r="E289" i="35" s="1"/>
  <c r="F289" i="35" s="1"/>
  <c r="B290" i="35" s="1"/>
  <c r="D290" i="35" l="1"/>
  <c r="C290" i="35"/>
  <c r="E290" i="35" s="1"/>
  <c r="F290" i="35" s="1"/>
  <c r="B291" i="35" s="1"/>
  <c r="D291" i="35" l="1"/>
  <c r="C291" i="35"/>
  <c r="E291" i="35" s="1"/>
  <c r="F291" i="35" s="1"/>
  <c r="B292" i="35" s="1"/>
  <c r="D292" i="35" l="1"/>
  <c r="C292" i="35"/>
  <c r="E292" i="35" s="1"/>
  <c r="F292" i="35" s="1"/>
  <c r="B293" i="35" s="1"/>
  <c r="D293" i="35" l="1"/>
  <c r="C293" i="35"/>
  <c r="E293" i="35" s="1"/>
  <c r="F293" i="35" s="1"/>
  <c r="B294" i="35" s="1"/>
  <c r="D294" i="35" l="1"/>
  <c r="C294" i="35"/>
  <c r="E294" i="35" s="1"/>
  <c r="F294" i="35" s="1"/>
  <c r="B295" i="35" s="1"/>
  <c r="C295" i="35" l="1"/>
  <c r="D295" i="35"/>
  <c r="E295" i="35" l="1"/>
  <c r="F295" i="35" s="1"/>
  <c r="B296" i="35" s="1"/>
  <c r="D296" i="35" l="1"/>
  <c r="C296" i="35"/>
  <c r="E296" i="35" s="1"/>
  <c r="F296" i="35" s="1"/>
  <c r="B297" i="35" s="1"/>
  <c r="D297" i="35" l="1"/>
  <c r="C297" i="35"/>
  <c r="E297" i="35" s="1"/>
  <c r="F297" i="35" s="1"/>
  <c r="B298" i="35" s="1"/>
  <c r="D298" i="35" l="1"/>
  <c r="C298" i="35"/>
  <c r="E298" i="35" s="1"/>
  <c r="F298" i="35" s="1"/>
  <c r="B299" i="35" s="1"/>
  <c r="D299" i="35" l="1"/>
  <c r="C299" i="35"/>
  <c r="E299" i="35" s="1"/>
  <c r="F299" i="35" s="1"/>
  <c r="B300" i="35" s="1"/>
  <c r="D300" i="35" l="1"/>
  <c r="C300" i="35"/>
  <c r="E300" i="35" s="1"/>
  <c r="F300" i="35" s="1"/>
  <c r="B301" i="35" s="1"/>
  <c r="D301" i="35" l="1"/>
  <c r="C301" i="35"/>
  <c r="E301" i="35" s="1"/>
  <c r="F301" i="35" s="1"/>
  <c r="B302" i="35" s="1"/>
  <c r="D302" i="35" l="1"/>
  <c r="C302" i="35"/>
  <c r="E302" i="35" s="1"/>
  <c r="F302" i="35" s="1"/>
  <c r="B303" i="35" s="1"/>
  <c r="D303" i="35" l="1"/>
  <c r="C303" i="35"/>
  <c r="E303" i="35" s="1"/>
  <c r="F303" i="35" s="1"/>
  <c r="B304" i="35" s="1"/>
  <c r="D304" i="35" l="1"/>
  <c r="C304" i="35"/>
  <c r="E304" i="35" s="1"/>
  <c r="F304" i="35" s="1"/>
  <c r="B305" i="35" s="1"/>
  <c r="D305" i="35" l="1"/>
  <c r="C305" i="35"/>
  <c r="E305" i="35" s="1"/>
  <c r="F305" i="35" s="1"/>
  <c r="B306" i="35" s="1"/>
  <c r="D306" i="35" l="1"/>
  <c r="C306" i="35"/>
  <c r="E306" i="35" s="1"/>
  <c r="F306" i="35" s="1"/>
  <c r="B307" i="35" s="1"/>
  <c r="D307" i="35" l="1"/>
  <c r="C307" i="35"/>
  <c r="E307" i="35" s="1"/>
  <c r="F307" i="35" s="1"/>
  <c r="B308" i="35" s="1"/>
  <c r="D308" i="35" l="1"/>
  <c r="C308" i="35"/>
  <c r="E308" i="35" s="1"/>
  <c r="F308" i="35" s="1"/>
  <c r="B309" i="35" s="1"/>
  <c r="D309" i="35" l="1"/>
  <c r="C309" i="35"/>
  <c r="E309" i="35" s="1"/>
  <c r="F309" i="35" s="1"/>
  <c r="B310" i="35" s="1"/>
  <c r="D310" i="35" l="1"/>
  <c r="C310" i="35"/>
  <c r="E310" i="35" s="1"/>
  <c r="F310" i="35" s="1"/>
  <c r="B311" i="35" s="1"/>
  <c r="D311" i="35" l="1"/>
  <c r="C311" i="35"/>
  <c r="E311" i="35" s="1"/>
  <c r="F311" i="35" s="1"/>
  <c r="B312" i="35" s="1"/>
  <c r="D312" i="35" l="1"/>
  <c r="C312" i="35"/>
  <c r="E312" i="35" l="1"/>
  <c r="F312" i="35" s="1"/>
  <c r="B313" i="35" s="1"/>
  <c r="D313" i="35" l="1"/>
  <c r="C313" i="35"/>
  <c r="E313" i="35" s="1"/>
  <c r="F313" i="35" s="1"/>
  <c r="B314" i="35" s="1"/>
  <c r="D314" i="35" l="1"/>
  <c r="C314" i="35"/>
  <c r="E314" i="35" s="1"/>
  <c r="F314" i="35" s="1"/>
  <c r="B315" i="35" s="1"/>
  <c r="D315" i="35" l="1"/>
  <c r="C315" i="35"/>
  <c r="E315" i="35" s="1"/>
  <c r="F315" i="35" s="1"/>
  <c r="B316" i="35" s="1"/>
  <c r="D316" i="35" l="1"/>
  <c r="C316" i="35"/>
  <c r="E316" i="35" s="1"/>
  <c r="F316" i="35"/>
  <c r="B317" i="35" s="1"/>
  <c r="D317" i="35" l="1"/>
  <c r="C317" i="35"/>
  <c r="E317" i="35" s="1"/>
  <c r="F317" i="35" s="1"/>
  <c r="B318" i="35" s="1"/>
  <c r="D318" i="35" l="1"/>
  <c r="C318" i="35"/>
  <c r="E318" i="35" s="1"/>
  <c r="F318" i="35" s="1"/>
  <c r="B319" i="35" s="1"/>
  <c r="D319" i="35" l="1"/>
  <c r="C319" i="35"/>
  <c r="E319" i="35" s="1"/>
  <c r="F319" i="35" s="1"/>
  <c r="B320" i="35" s="1"/>
  <c r="D320" i="35" l="1"/>
  <c r="C320" i="35"/>
  <c r="E320" i="35" s="1"/>
  <c r="F320" i="35" s="1"/>
  <c r="B321" i="35" s="1"/>
  <c r="D321" i="35" l="1"/>
  <c r="C321" i="35"/>
  <c r="E321" i="35" s="1"/>
  <c r="F321" i="35" s="1"/>
  <c r="B322" i="35" s="1"/>
  <c r="D322" i="35" l="1"/>
  <c r="C322" i="35"/>
  <c r="E322" i="35" s="1"/>
  <c r="F322" i="35" s="1"/>
  <c r="B323" i="35" s="1"/>
  <c r="J22" i="3"/>
  <c r="J23" i="3"/>
  <c r="I51" i="3"/>
  <c r="I50" i="3"/>
  <c r="I49" i="3"/>
  <c r="J49" i="3" s="1"/>
  <c r="J48" i="3"/>
  <c r="F14" i="23"/>
  <c r="E14" i="23"/>
  <c r="C323" i="35" l="1"/>
  <c r="D323" i="35"/>
  <c r="H9" i="2"/>
  <c r="A46" i="3"/>
  <c r="A44" i="3"/>
  <c r="A38" i="3"/>
  <c r="A32" i="3"/>
  <c r="C22" i="2"/>
  <c r="D22" i="2"/>
  <c r="E22" i="2"/>
  <c r="F22" i="2"/>
  <c r="G22" i="2"/>
  <c r="H22" i="2"/>
  <c r="B2" i="2"/>
  <c r="B3" i="22"/>
  <c r="H55" i="22"/>
  <c r="G55" i="22"/>
  <c r="H54" i="22"/>
  <c r="G54" i="22"/>
  <c r="F54" i="22"/>
  <c r="F55" i="22" s="1"/>
  <c r="E54" i="22"/>
  <c r="E55" i="22" s="1"/>
  <c r="G53" i="22"/>
  <c r="F53" i="22"/>
  <c r="E53" i="22"/>
  <c r="D53" i="22"/>
  <c r="C53" i="22"/>
  <c r="H52" i="22"/>
  <c r="H53" i="22" s="1"/>
  <c r="G52" i="22"/>
  <c r="F52" i="22"/>
  <c r="E52" i="22"/>
  <c r="D52" i="22"/>
  <c r="C52" i="22"/>
  <c r="H47" i="22"/>
  <c r="G47" i="22"/>
  <c r="F47" i="22"/>
  <c r="E47" i="22"/>
  <c r="H46" i="22"/>
  <c r="G46" i="22"/>
  <c r="F46" i="22"/>
  <c r="E46" i="22"/>
  <c r="D46" i="22"/>
  <c r="D54" i="22" s="1"/>
  <c r="D55" i="22" s="1"/>
  <c r="C46" i="22"/>
  <c r="C54" i="22" s="1"/>
  <c r="C55" i="22" s="1"/>
  <c r="H37" i="22"/>
  <c r="H58" i="22" s="1"/>
  <c r="G37" i="22"/>
  <c r="G58" i="22" s="1"/>
  <c r="G59" i="22" s="1"/>
  <c r="G60" i="22" s="1"/>
  <c r="H35" i="22"/>
  <c r="G35" i="22"/>
  <c r="F35" i="22"/>
  <c r="F37" i="22" s="1"/>
  <c r="F58" i="22" s="1"/>
  <c r="F59" i="22" s="1"/>
  <c r="F60" i="22" s="1"/>
  <c r="E35" i="22"/>
  <c r="E37" i="22" s="1"/>
  <c r="E58" i="22" s="1"/>
  <c r="D35" i="22"/>
  <c r="D37" i="22" s="1"/>
  <c r="D58" i="22" s="1"/>
  <c r="C35" i="22"/>
  <c r="H29" i="22"/>
  <c r="G29" i="22"/>
  <c r="F29" i="22"/>
  <c r="E29" i="22"/>
  <c r="D29" i="22"/>
  <c r="C29" i="22"/>
  <c r="C37" i="22" s="1"/>
  <c r="H23" i="22"/>
  <c r="G23" i="22"/>
  <c r="F23" i="22"/>
  <c r="E23" i="22"/>
  <c r="D23" i="22"/>
  <c r="C23" i="22"/>
  <c r="H17" i="22"/>
  <c r="G17" i="22"/>
  <c r="F17" i="22"/>
  <c r="E17" i="22"/>
  <c r="D17" i="22"/>
  <c r="C17" i="22"/>
  <c r="H9" i="22"/>
  <c r="G9" i="22"/>
  <c r="F9" i="22"/>
  <c r="E9" i="22"/>
  <c r="D9" i="22"/>
  <c r="C9" i="22"/>
  <c r="H5" i="22"/>
  <c r="H62" i="22" s="1"/>
  <c r="G5" i="22"/>
  <c r="G31" i="22" s="1"/>
  <c r="F5" i="22"/>
  <c r="F48" i="22" s="1"/>
  <c r="E5" i="22"/>
  <c r="E31" i="22" s="1"/>
  <c r="D5" i="22"/>
  <c r="D40" i="22" s="1"/>
  <c r="C5" i="22"/>
  <c r="C11" i="22" s="1"/>
  <c r="B2" i="22"/>
  <c r="B3" i="21"/>
  <c r="B2" i="21"/>
  <c r="D5" i="21"/>
  <c r="D62" i="21" s="1"/>
  <c r="E5" i="21"/>
  <c r="E25" i="21" s="1"/>
  <c r="F5" i="21"/>
  <c r="F62" i="21" s="1"/>
  <c r="G5" i="21"/>
  <c r="G40" i="21" s="1"/>
  <c r="H5" i="21"/>
  <c r="H40" i="21" s="1"/>
  <c r="C5" i="21"/>
  <c r="C11" i="21" s="1"/>
  <c r="D53" i="21"/>
  <c r="C53" i="21"/>
  <c r="H52" i="21"/>
  <c r="H53" i="21" s="1"/>
  <c r="G52" i="21"/>
  <c r="G53" i="21" s="1"/>
  <c r="F52" i="21"/>
  <c r="E52" i="21"/>
  <c r="E53" i="21" s="1"/>
  <c r="D52" i="21"/>
  <c r="C52" i="21"/>
  <c r="F47" i="21"/>
  <c r="E47" i="21"/>
  <c r="H46" i="21"/>
  <c r="H54" i="21" s="1"/>
  <c r="H55" i="21" s="1"/>
  <c r="G46" i="21"/>
  <c r="G54" i="21" s="1"/>
  <c r="G55" i="21" s="1"/>
  <c r="F46" i="21"/>
  <c r="E46" i="21"/>
  <c r="D46" i="21"/>
  <c r="D47" i="21" s="1"/>
  <c r="C46" i="21"/>
  <c r="C54" i="21" s="1"/>
  <c r="C55" i="21" s="1"/>
  <c r="F35" i="21"/>
  <c r="E35" i="21"/>
  <c r="D35" i="21"/>
  <c r="C35" i="21"/>
  <c r="H29" i="21"/>
  <c r="G29" i="21"/>
  <c r="F29" i="21"/>
  <c r="E29" i="21"/>
  <c r="D29" i="21"/>
  <c r="C29" i="21"/>
  <c r="H23" i="21"/>
  <c r="G23" i="21"/>
  <c r="F23" i="21"/>
  <c r="E23" i="21"/>
  <c r="D23" i="21"/>
  <c r="C23" i="21"/>
  <c r="H17" i="21"/>
  <c r="G17" i="21"/>
  <c r="F17" i="21"/>
  <c r="E17" i="21"/>
  <c r="D17" i="21"/>
  <c r="C17" i="21"/>
  <c r="H9" i="21"/>
  <c r="G9" i="21"/>
  <c r="F9" i="21"/>
  <c r="E9" i="21"/>
  <c r="D9" i="21"/>
  <c r="C9" i="21"/>
  <c r="A20" i="3"/>
  <c r="A18" i="3"/>
  <c r="B16" i="18"/>
  <c r="B5" i="18"/>
  <c r="B2" i="18"/>
  <c r="D9" i="2"/>
  <c r="E9" i="2"/>
  <c r="F9" i="2"/>
  <c r="G9" i="2"/>
  <c r="C9" i="2"/>
  <c r="D16" i="2"/>
  <c r="E16" i="2"/>
  <c r="F16" i="2"/>
  <c r="G16" i="2"/>
  <c r="H16" i="2"/>
  <c r="C16" i="2"/>
  <c r="A12" i="3"/>
  <c r="E23" i="3" s="1"/>
  <c r="C52" i="2"/>
  <c r="C53" i="2" s="1"/>
  <c r="D52" i="2"/>
  <c r="D53" i="2" s="1"/>
  <c r="E52" i="2"/>
  <c r="E53" i="2" s="1"/>
  <c r="F52" i="2"/>
  <c r="F53" i="2" s="1"/>
  <c r="H52" i="2"/>
  <c r="H53" i="2" s="1"/>
  <c r="G52" i="2"/>
  <c r="G53" i="2" s="1"/>
  <c r="H46" i="2"/>
  <c r="H47" i="2" s="1"/>
  <c r="D46" i="2"/>
  <c r="D47" i="2" s="1"/>
  <c r="E46" i="2"/>
  <c r="E47" i="2" s="1"/>
  <c r="F46" i="2"/>
  <c r="F47" i="2" s="1"/>
  <c r="G46" i="2"/>
  <c r="G47" i="2" s="1"/>
  <c r="C46" i="2"/>
  <c r="C47" i="2" s="1"/>
  <c r="D28" i="2"/>
  <c r="E28" i="2"/>
  <c r="F28" i="2"/>
  <c r="G28" i="2"/>
  <c r="H28" i="2"/>
  <c r="E34" i="2"/>
  <c r="D34" i="2"/>
  <c r="C34" i="2"/>
  <c r="F48" i="21" l="1"/>
  <c r="F25" i="21"/>
  <c r="F31" i="21"/>
  <c r="E323" i="35"/>
  <c r="F323" i="35" s="1"/>
  <c r="B324" i="35" s="1"/>
  <c r="G54" i="2"/>
  <c r="G55" i="2" s="1"/>
  <c r="F40" i="21"/>
  <c r="F19" i="21"/>
  <c r="G25" i="21"/>
  <c r="G31" i="21"/>
  <c r="G62" i="21"/>
  <c r="F11" i="21"/>
  <c r="G11" i="21"/>
  <c r="G25" i="22"/>
  <c r="H11" i="21"/>
  <c r="G19" i="21"/>
  <c r="G48" i="21"/>
  <c r="H25" i="22"/>
  <c r="G11" i="22"/>
  <c r="G48" i="22"/>
  <c r="H19" i="21"/>
  <c r="H62" i="21"/>
  <c r="H11" i="22"/>
  <c r="H48" i="22"/>
  <c r="H59" i="22"/>
  <c r="H60" i="22" s="1"/>
  <c r="C58" i="22"/>
  <c r="D59" i="22" s="1"/>
  <c r="D60" i="22" s="1"/>
  <c r="E59" i="22"/>
  <c r="E60" i="22" s="1"/>
  <c r="C31" i="22"/>
  <c r="C40" i="22"/>
  <c r="C62" i="22"/>
  <c r="F31" i="22"/>
  <c r="D62" i="22"/>
  <c r="C25" i="22"/>
  <c r="E40" i="22"/>
  <c r="C48" i="22"/>
  <c r="E62" i="22"/>
  <c r="D11" i="22"/>
  <c r="H19" i="22"/>
  <c r="D25" i="22"/>
  <c r="H31" i="22"/>
  <c r="F40" i="22"/>
  <c r="D48" i="22"/>
  <c r="F62" i="22"/>
  <c r="C19" i="22"/>
  <c r="D19" i="22"/>
  <c r="D31" i="22"/>
  <c r="F19" i="22"/>
  <c r="G19" i="22"/>
  <c r="E11" i="22"/>
  <c r="E25" i="22"/>
  <c r="G40" i="22"/>
  <c r="C47" i="22"/>
  <c r="E48" i="22"/>
  <c r="G62" i="22"/>
  <c r="E19" i="22"/>
  <c r="F11" i="22"/>
  <c r="F25" i="22"/>
  <c r="H40" i="22"/>
  <c r="D47" i="22"/>
  <c r="E54" i="21"/>
  <c r="E55" i="21" s="1"/>
  <c r="D54" i="21"/>
  <c r="D55" i="21" s="1"/>
  <c r="F54" i="21"/>
  <c r="F55" i="21" s="1"/>
  <c r="C37" i="21"/>
  <c r="C58" i="21" s="1"/>
  <c r="C28" i="2" s="1"/>
  <c r="C36" i="2" s="1"/>
  <c r="D31" i="21"/>
  <c r="D48" i="21"/>
  <c r="H48" i="21"/>
  <c r="H25" i="21"/>
  <c r="H31" i="21"/>
  <c r="E31" i="21"/>
  <c r="D19" i="21"/>
  <c r="D40" i="21"/>
  <c r="E62" i="21"/>
  <c r="E11" i="21"/>
  <c r="E48" i="21"/>
  <c r="E40" i="21"/>
  <c r="D25" i="21"/>
  <c r="E19" i="21"/>
  <c r="D11" i="21"/>
  <c r="C31" i="21"/>
  <c r="C25" i="21"/>
  <c r="C62" i="21"/>
  <c r="C40" i="21"/>
  <c r="C19" i="21"/>
  <c r="C48" i="21"/>
  <c r="E37" i="21"/>
  <c r="E58" i="21" s="1"/>
  <c r="D37" i="21"/>
  <c r="F37" i="21"/>
  <c r="F58" i="21" s="1"/>
  <c r="H35" i="21"/>
  <c r="H37" i="21" s="1"/>
  <c r="H58" i="21" s="1"/>
  <c r="G35" i="21"/>
  <c r="G37" i="21" s="1"/>
  <c r="G58" i="21" s="1"/>
  <c r="G47" i="21"/>
  <c r="H47" i="21"/>
  <c r="F53" i="21"/>
  <c r="C47" i="21"/>
  <c r="E54" i="2"/>
  <c r="E55" i="2" s="1"/>
  <c r="D36" i="2"/>
  <c r="C54" i="2"/>
  <c r="C55" i="2" s="1"/>
  <c r="F54" i="2"/>
  <c r="F55" i="2" s="1"/>
  <c r="D54" i="2"/>
  <c r="D55" i="2" s="1"/>
  <c r="H54" i="2"/>
  <c r="H55" i="2" s="1"/>
  <c r="E36" i="2"/>
  <c r="H34" i="2"/>
  <c r="H36" i="2" s="1"/>
  <c r="G34" i="2"/>
  <c r="F34" i="2"/>
  <c r="F36" i="2" s="1"/>
  <c r="E27" i="18"/>
  <c r="F27" i="18"/>
  <c r="G27" i="18"/>
  <c r="H27" i="18"/>
  <c r="D324" i="35" l="1"/>
  <c r="C324" i="35"/>
  <c r="E324" i="35" s="1"/>
  <c r="F324" i="35" s="1"/>
  <c r="B325" i="35" s="1"/>
  <c r="D58" i="21"/>
  <c r="E59" i="21" s="1"/>
  <c r="E60" i="21" s="1"/>
  <c r="F59" i="21"/>
  <c r="F60" i="21" s="1"/>
  <c r="G59" i="21"/>
  <c r="G60" i="21" s="1"/>
  <c r="H59" i="21"/>
  <c r="H60" i="21" s="1"/>
  <c r="H57" i="2"/>
  <c r="D16" i="18"/>
  <c r="H16" i="18"/>
  <c r="C16" i="18"/>
  <c r="A3" i="3"/>
  <c r="D325" i="35" l="1"/>
  <c r="C325" i="35"/>
  <c r="E325" i="35" s="1"/>
  <c r="F325" i="35" s="1"/>
  <c r="B326" i="35" s="1"/>
  <c r="D59" i="21"/>
  <c r="D60" i="21" s="1"/>
  <c r="G16" i="18"/>
  <c r="F16" i="18"/>
  <c r="E16" i="18"/>
  <c r="D27" i="18"/>
  <c r="C27" i="18"/>
  <c r="G36" i="2"/>
  <c r="D326" i="35" l="1"/>
  <c r="C326" i="35"/>
  <c r="E326" i="35" s="1"/>
  <c r="F326" i="35" s="1"/>
  <c r="B327" i="35" s="1"/>
  <c r="E24" i="3"/>
  <c r="A3" i="12"/>
  <c r="E16" i="12"/>
  <c r="D327" i="35" l="1"/>
  <c r="C327" i="35"/>
  <c r="E327" i="35" s="1"/>
  <c r="F327" i="35" s="1"/>
  <c r="B328" i="35" s="1"/>
  <c r="E22" i="3"/>
  <c r="G24" i="3"/>
  <c r="H24" i="3"/>
  <c r="E25" i="3"/>
  <c r="F25" i="3"/>
  <c r="G25" i="3"/>
  <c r="H25" i="3"/>
  <c r="D328" i="35" l="1"/>
  <c r="C328" i="35"/>
  <c r="E328" i="35" s="1"/>
  <c r="F328" i="35"/>
  <c r="B329" i="35" s="1"/>
  <c r="I26" i="3"/>
  <c r="D61" i="2"/>
  <c r="E61" i="2"/>
  <c r="F61" i="2"/>
  <c r="G61" i="2"/>
  <c r="H61" i="2"/>
  <c r="C61" i="2"/>
  <c r="E51" i="3"/>
  <c r="E50" i="3"/>
  <c r="A62" i="3" s="1"/>
  <c r="E49" i="3"/>
  <c r="E48" i="3"/>
  <c r="G57" i="2"/>
  <c r="D48" i="2"/>
  <c r="E48" i="2"/>
  <c r="F48" i="2"/>
  <c r="G48" i="2"/>
  <c r="H48" i="2"/>
  <c r="C48" i="2"/>
  <c r="D39" i="2"/>
  <c r="E39" i="2"/>
  <c r="F39" i="2"/>
  <c r="G39" i="2"/>
  <c r="H39" i="2"/>
  <c r="C39" i="2"/>
  <c r="D30" i="2"/>
  <c r="E30" i="2"/>
  <c r="F30" i="2"/>
  <c r="G30" i="2"/>
  <c r="H30" i="2"/>
  <c r="C30" i="2"/>
  <c r="D24" i="2"/>
  <c r="E24" i="2"/>
  <c r="F24" i="2"/>
  <c r="G24" i="2"/>
  <c r="H24" i="2"/>
  <c r="C24" i="2"/>
  <c r="D18" i="2"/>
  <c r="E18" i="2"/>
  <c r="F18" i="2"/>
  <c r="G18" i="2"/>
  <c r="H18" i="2"/>
  <c r="C18" i="2"/>
  <c r="D11" i="2"/>
  <c r="E11" i="2"/>
  <c r="F11" i="2"/>
  <c r="G11" i="2"/>
  <c r="H11" i="2"/>
  <c r="C11" i="2"/>
  <c r="J26" i="3" l="1"/>
  <c r="D329" i="35"/>
  <c r="C329" i="35"/>
  <c r="E329" i="35" s="1"/>
  <c r="F329" i="35" s="1"/>
  <c r="B330" i="35" s="1"/>
  <c r="H58" i="2"/>
  <c r="H59" i="2" s="1"/>
  <c r="D330" i="35" l="1"/>
  <c r="C330" i="35"/>
  <c r="E330" i="35" s="1"/>
  <c r="F330" i="35" s="1"/>
  <c r="B331" i="35" s="1"/>
  <c r="J62" i="3"/>
  <c r="H51" i="3"/>
  <c r="G51" i="3"/>
  <c r="F51" i="3"/>
  <c r="I52" i="3"/>
  <c r="J52" i="3" l="1"/>
  <c r="K52" i="3"/>
  <c r="L52" i="3" s="1"/>
  <c r="D331" i="35"/>
  <c r="C331" i="35"/>
  <c r="E331" i="35" s="1"/>
  <c r="F331" i="35" s="1"/>
  <c r="B332" i="35" s="1"/>
  <c r="D332" i="35" l="1"/>
  <c r="C332" i="35"/>
  <c r="E332" i="35" s="1"/>
  <c r="F332" i="35"/>
  <c r="B333" i="35" s="1"/>
  <c r="F57" i="2"/>
  <c r="D333" i="35" l="1"/>
  <c r="C333" i="35"/>
  <c r="E333" i="35" s="1"/>
  <c r="F333" i="35" s="1"/>
  <c r="B334" i="35" s="1"/>
  <c r="G58" i="2"/>
  <c r="G59" i="2" s="1"/>
  <c r="E57" i="2"/>
  <c r="D334" i="35" l="1"/>
  <c r="C334" i="35"/>
  <c r="E334" i="35" s="1"/>
  <c r="F334" i="35" s="1"/>
  <c r="B335" i="35" s="1"/>
  <c r="F58" i="2"/>
  <c r="F59" i="2" s="1"/>
  <c r="C57" i="2"/>
  <c r="D57" i="2"/>
  <c r="E58" i="2" s="1"/>
  <c r="E59" i="2" s="1"/>
  <c r="C335" i="35" l="1"/>
  <c r="D335" i="35"/>
  <c r="D58" i="2"/>
  <c r="D59" i="2" s="1"/>
  <c r="E335" i="35" l="1"/>
  <c r="F335" i="35" s="1"/>
  <c r="B336" i="35" s="1"/>
  <c r="D336" i="35" l="1"/>
  <c r="C336" i="35"/>
  <c r="E336" i="35" s="1"/>
  <c r="F336" i="35"/>
  <c r="B337" i="35" s="1"/>
  <c r="D337" i="35" l="1"/>
  <c r="C337" i="35"/>
  <c r="E337" i="35" s="1"/>
  <c r="F337" i="35" s="1"/>
  <c r="B338" i="35" s="1"/>
  <c r="D338" i="35" l="1"/>
  <c r="C338" i="35"/>
  <c r="E338" i="35" s="1"/>
  <c r="F338" i="35" s="1"/>
  <c r="B339" i="35" s="1"/>
  <c r="D339" i="35" l="1"/>
  <c r="C339" i="35"/>
  <c r="E339" i="35" s="1"/>
  <c r="F339" i="35" s="1"/>
  <c r="B340" i="35" s="1"/>
  <c r="D340" i="35" l="1"/>
  <c r="C340" i="35"/>
  <c r="E340" i="35" s="1"/>
  <c r="F340" i="35"/>
  <c r="B341" i="35" s="1"/>
  <c r="D341" i="35" l="1"/>
  <c r="C341" i="35"/>
  <c r="E341" i="35" s="1"/>
  <c r="F341" i="35" s="1"/>
  <c r="B342" i="35" s="1"/>
  <c r="D342" i="35" l="1"/>
  <c r="C342" i="35"/>
  <c r="E342" i="35" s="1"/>
  <c r="F342" i="35" s="1"/>
  <c r="B343" i="35" s="1"/>
  <c r="D343" i="35" l="1"/>
  <c r="C343" i="35"/>
  <c r="E343" i="35" s="1"/>
  <c r="F343" i="35" s="1"/>
  <c r="B344" i="35" s="1"/>
  <c r="D344" i="35" l="1"/>
  <c r="C344" i="35"/>
  <c r="E344" i="35" s="1"/>
  <c r="F344" i="35"/>
  <c r="B345" i="35" s="1"/>
  <c r="D345" i="35" l="1"/>
  <c r="C345" i="35"/>
  <c r="E345" i="35" s="1"/>
  <c r="F345" i="35" s="1"/>
  <c r="B346" i="35" s="1"/>
  <c r="D346" i="35" l="1"/>
  <c r="C346" i="35"/>
  <c r="E346" i="35" s="1"/>
  <c r="F346" i="35" s="1"/>
  <c r="B347" i="35" s="1"/>
  <c r="D347" i="35" l="1"/>
  <c r="C347" i="35"/>
  <c r="E347" i="35" s="1"/>
  <c r="F347" i="35" s="1"/>
  <c r="B348" i="35" s="1"/>
  <c r="D348" i="35" l="1"/>
  <c r="C348" i="35"/>
  <c r="E348" i="35" s="1"/>
  <c r="F348" i="35"/>
  <c r="B349" i="35" s="1"/>
  <c r="D349" i="35" l="1"/>
  <c r="C349" i="35"/>
  <c r="E349" i="35" s="1"/>
  <c r="F349" i="35" s="1"/>
  <c r="B350" i="35" s="1"/>
  <c r="D350" i="35" l="1"/>
  <c r="C350" i="35"/>
  <c r="E350" i="35" s="1"/>
  <c r="F350" i="35" s="1"/>
  <c r="B351" i="35" s="1"/>
  <c r="D351" i="35" l="1"/>
  <c r="C351" i="35"/>
  <c r="E351" i="35" s="1"/>
  <c r="F351" i="35" s="1"/>
  <c r="B352" i="35" s="1"/>
  <c r="D352" i="35" l="1"/>
  <c r="C352" i="35"/>
  <c r="E352" i="35" s="1"/>
  <c r="F352" i="35"/>
  <c r="B353" i="35" s="1"/>
  <c r="D353" i="35" l="1"/>
  <c r="C353" i="35"/>
  <c r="E353" i="35" s="1"/>
  <c r="F353" i="35" s="1"/>
  <c r="B354" i="35" s="1"/>
  <c r="D354" i="35" l="1"/>
  <c r="C354" i="35"/>
  <c r="E354" i="35" s="1"/>
  <c r="F354" i="35" s="1"/>
  <c r="B355" i="35" s="1"/>
  <c r="D355" i="35" l="1"/>
  <c r="C355" i="35"/>
  <c r="E355" i="35" s="1"/>
  <c r="F355" i="35" s="1"/>
  <c r="B356" i="35" s="1"/>
  <c r="D356" i="35" l="1"/>
  <c r="C356" i="35"/>
  <c r="E356" i="35" s="1"/>
  <c r="F356" i="35" s="1"/>
  <c r="B357" i="35" s="1"/>
  <c r="D357" i="35" l="1"/>
  <c r="C357" i="35"/>
  <c r="E357" i="35" s="1"/>
  <c r="F357" i="35" s="1"/>
  <c r="B358" i="35" s="1"/>
  <c r="D358" i="35" l="1"/>
  <c r="C358" i="35"/>
  <c r="E358" i="35" s="1"/>
  <c r="F358" i="35" s="1"/>
  <c r="B359" i="35" s="1"/>
  <c r="D359" i="35" l="1"/>
  <c r="C359" i="35"/>
  <c r="E359" i="35" s="1"/>
  <c r="F359" i="35" s="1"/>
  <c r="B360" i="35" s="1"/>
  <c r="D360" i="35" l="1"/>
  <c r="C360" i="35"/>
  <c r="E360" i="35" s="1"/>
  <c r="F360" i="35"/>
  <c r="B361" i="35" s="1"/>
  <c r="D361" i="35" l="1"/>
  <c r="C361" i="35"/>
  <c r="E361" i="35" s="1"/>
  <c r="F361" i="35" s="1"/>
  <c r="B362" i="35" s="1"/>
  <c r="D362" i="35" l="1"/>
  <c r="C362" i="35"/>
  <c r="E362" i="35" s="1"/>
  <c r="F362" i="35" s="1"/>
  <c r="B363" i="35" s="1"/>
  <c r="D363" i="35" l="1"/>
  <c r="C363" i="35"/>
  <c r="E363" i="35" s="1"/>
  <c r="F363" i="35" s="1"/>
  <c r="B364" i="35" s="1"/>
  <c r="D364" i="35" l="1"/>
  <c r="C364" i="35"/>
  <c r="E364" i="35" s="1"/>
  <c r="F364" i="35"/>
  <c r="B365" i="35" s="1"/>
  <c r="D365" i="35" l="1"/>
  <c r="C365" i="35"/>
  <c r="E365" i="35" s="1"/>
  <c r="F365" i="35" s="1"/>
  <c r="B366" i="35" s="1"/>
  <c r="D366" i="35" l="1"/>
  <c r="C366" i="35"/>
  <c r="E366" i="35" s="1"/>
  <c r="F366" i="35" s="1"/>
  <c r="B367" i="35" s="1"/>
  <c r="D367" i="35" l="1"/>
  <c r="C367" i="35"/>
  <c r="E367" i="35" s="1"/>
  <c r="F367" i="35" s="1"/>
  <c r="B368" i="35" s="1"/>
  <c r="D368" i="35" l="1"/>
  <c r="C368" i="35"/>
  <c r="E368" i="35" s="1"/>
  <c r="F368" i="35"/>
  <c r="B369" i="35" s="1"/>
  <c r="D369" i="35" l="1"/>
  <c r="C369" i="35"/>
  <c r="E369" i="35" l="1"/>
  <c r="F369" i="35" s="1"/>
  <c r="B370" i="35" s="1"/>
  <c r="D370" i="35"/>
  <c r="C370" i="35"/>
  <c r="E370" i="35" s="1"/>
  <c r="F370" i="35" s="1"/>
  <c r="B371" i="35" s="1"/>
  <c r="D371" i="35" l="1"/>
  <c r="C371" i="35"/>
  <c r="E371" i="35" s="1"/>
  <c r="F371" i="35" s="1"/>
  <c r="B372" i="35" s="1"/>
  <c r="D372" i="35" l="1"/>
  <c r="C372" i="35"/>
  <c r="E372" i="35" s="1"/>
  <c r="F372" i="35" s="1"/>
  <c r="B373" i="35" s="1"/>
  <c r="D373" i="35" l="1"/>
  <c r="C373" i="35"/>
  <c r="E373" i="35" s="1"/>
  <c r="F373" i="35" s="1"/>
  <c r="B374" i="35" s="1"/>
  <c r="D374" i="35" l="1"/>
  <c r="C374" i="35"/>
  <c r="E374" i="35" s="1"/>
  <c r="F374" i="35" s="1"/>
  <c r="B375" i="35" s="1"/>
  <c r="D375" i="35" l="1"/>
  <c r="C375" i="35"/>
  <c r="E375" i="35" s="1"/>
  <c r="F375" i="35" s="1"/>
  <c r="B376" i="35" s="1"/>
  <c r="D376" i="35" l="1"/>
  <c r="C376" i="35"/>
  <c r="E376" i="35" s="1"/>
  <c r="F376" i="35"/>
  <c r="B377" i="35" s="1"/>
  <c r="D377" i="35" l="1"/>
  <c r="C377" i="35"/>
  <c r="E377" i="35" s="1"/>
  <c r="F377" i="35" s="1"/>
</calcChain>
</file>

<file path=xl/sharedStrings.xml><?xml version="1.0" encoding="utf-8"?>
<sst xmlns="http://schemas.openxmlformats.org/spreadsheetml/2006/main" count="424" uniqueCount="297">
  <si>
    <t>Enfant(s)</t>
  </si>
  <si>
    <t>Prenom Nom</t>
  </si>
  <si>
    <t>Fiscaliste</t>
  </si>
  <si>
    <t>Compagnie de facturation</t>
  </si>
  <si>
    <t>Notaire</t>
  </si>
  <si>
    <t>Conseiller autre(s)</t>
  </si>
  <si>
    <t>Avocat</t>
  </si>
  <si>
    <t>Spécialité</t>
  </si>
  <si>
    <t>Lieu de pratique</t>
  </si>
  <si>
    <t>Testament</t>
  </si>
  <si>
    <t>Mandat en cas d'inaptitude</t>
  </si>
  <si>
    <t>Employeur</t>
  </si>
  <si>
    <t>Emploi</t>
  </si>
  <si>
    <t>Salaires/ revenus</t>
  </si>
  <si>
    <t>Autres revenus</t>
  </si>
  <si>
    <t>Droit cotisation CELI</t>
  </si>
  <si>
    <t>Droit cotisation REER</t>
  </si>
  <si>
    <r>
      <rPr>
        <b/>
        <sz val="11"/>
        <color theme="1"/>
        <rFont val="Calibri"/>
        <family val="2"/>
      </rPr>
      <t>Actifs</t>
    </r>
  </si>
  <si>
    <t>Actifs</t>
  </si>
  <si>
    <t>Total liquidité</t>
  </si>
  <si>
    <t>Épargnes et placements</t>
  </si>
  <si>
    <t>Total épargnes et placements</t>
  </si>
  <si>
    <t>Immobilisations</t>
  </si>
  <si>
    <t>Total immobilisations</t>
  </si>
  <si>
    <t>Capitaux propres</t>
  </si>
  <si>
    <t>Total capitaux propres</t>
  </si>
  <si>
    <t>Autres actifs</t>
  </si>
  <si>
    <t>Total autres actifs</t>
  </si>
  <si>
    <t>Total actifs</t>
  </si>
  <si>
    <t>Passif</t>
  </si>
  <si>
    <t>Carte crédit</t>
  </si>
  <si>
    <t>Prêt AFE</t>
  </si>
  <si>
    <t>Total dettes à long terme</t>
  </si>
  <si>
    <t>Total passifs</t>
  </si>
  <si>
    <t>Valeur nette</t>
  </si>
  <si>
    <t>Progression $</t>
  </si>
  <si>
    <t>Progression %</t>
  </si>
  <si>
    <t>NOTES :</t>
  </si>
  <si>
    <t>Total</t>
  </si>
  <si>
    <t>Taux d'intérêt</t>
  </si>
  <si>
    <t>Notes</t>
  </si>
  <si>
    <t>Assuré</t>
  </si>
  <si>
    <t>Cie</t>
  </si>
  <si>
    <t>Produit</t>
  </si>
  <si>
    <t>Vie</t>
  </si>
  <si>
    <t>Invalidité</t>
  </si>
  <si>
    <t>Maladie grave</t>
  </si>
  <si>
    <t>Prime mensuelle</t>
  </si>
  <si>
    <t>RBC</t>
  </si>
  <si>
    <t>LaCapitale</t>
  </si>
  <si>
    <t xml:space="preserve">Notes : </t>
  </si>
  <si>
    <t>Scénario 1</t>
  </si>
  <si>
    <t>Notes :</t>
  </si>
  <si>
    <t>Base garantie</t>
  </si>
  <si>
    <t>Capital décès à 85 ans</t>
  </si>
  <si>
    <t>Total investi</t>
  </si>
  <si>
    <t>pessimiste</t>
  </si>
  <si>
    <t>standard</t>
  </si>
  <si>
    <t>fini de payé 20 ans participatif</t>
  </si>
  <si>
    <r>
      <t xml:space="preserve">A, </t>
    </r>
    <r>
      <rPr>
        <sz val="11"/>
        <color rgb="FFFF0000"/>
        <rFont val="Calibri"/>
        <family val="2"/>
        <scheme val="minor"/>
      </rPr>
      <t>Accidentel seulement</t>
    </r>
    <r>
      <rPr>
        <sz val="11"/>
        <rFont val="Calibri"/>
        <family val="2"/>
        <scheme val="minor"/>
      </rPr>
      <t>, nivelé 65 ans, 1800 $ 30 jours, 4200 $ 119 jours, définition invalidité total, profession habituelle,</t>
    </r>
  </si>
  <si>
    <r>
      <t xml:space="preserve">2A, </t>
    </r>
    <r>
      <rPr>
        <sz val="11"/>
        <color rgb="FFFF0000"/>
        <rFont val="Calibri"/>
        <family val="2"/>
        <scheme val="minor"/>
      </rPr>
      <t>Accidentel seulement</t>
    </r>
    <r>
      <rPr>
        <sz val="11"/>
        <rFont val="Calibri"/>
        <family val="2"/>
        <scheme val="minor"/>
      </rPr>
      <t>, nivelé 65 ans, prestation 65 ans, 90 jrs d'attente, profession habituelle, 1er jour en cas d'hospitalisation</t>
    </r>
  </si>
  <si>
    <r>
      <t xml:space="preserve">2A, </t>
    </r>
    <r>
      <rPr>
        <sz val="11"/>
        <color rgb="FFFF0000"/>
        <rFont val="Calibri"/>
        <family val="2"/>
        <scheme val="minor"/>
      </rPr>
      <t>Accidentel et maladie</t>
    </r>
    <r>
      <rPr>
        <sz val="11"/>
        <rFont val="Calibri"/>
        <family val="2"/>
        <scheme val="minor"/>
      </rPr>
      <t xml:space="preserve">, nivelé 65 ans, prestation 5 ans, 90 jrs d'attente, profession habituelle, partiel 6 mois, </t>
    </r>
    <r>
      <rPr>
        <b/>
        <sz val="11"/>
        <rFont val="Calibri"/>
        <family val="2"/>
        <scheme val="minor"/>
      </rPr>
      <t>1er jour en cas d'hospitalisation</t>
    </r>
  </si>
  <si>
    <t>2A, 90 jrs, prestation 5 ans, partielle 12 mois, prime nivelé, prestation garantie, rabais 15 %</t>
  </si>
  <si>
    <r>
      <t xml:space="preserve">2A, 90 jrs, prestation 5 ans, </t>
    </r>
    <r>
      <rPr>
        <b/>
        <sz val="11"/>
        <rFont val="Calibri"/>
        <family val="2"/>
        <scheme val="minor"/>
      </rPr>
      <t>résiduelle 65 ans</t>
    </r>
    <r>
      <rPr>
        <sz val="11"/>
        <rFont val="Calibri"/>
        <family val="2"/>
        <scheme val="minor"/>
      </rPr>
      <t>, prime nivelé, prestation garantie, rabais 15 %, contrat bon à vie</t>
    </r>
  </si>
  <si>
    <r>
      <t xml:space="preserve">2A, 90 jrs, prestation 5 ans, </t>
    </r>
    <r>
      <rPr>
        <b/>
        <sz val="11"/>
        <rFont val="Calibri"/>
        <family val="2"/>
        <scheme val="minor"/>
      </rPr>
      <t>résiduelle 65 ans</t>
    </r>
    <r>
      <rPr>
        <sz val="11"/>
        <rFont val="Calibri"/>
        <family val="2"/>
        <scheme val="minor"/>
      </rPr>
      <t xml:space="preserve">, prime nivelé, prestation garantie, </t>
    </r>
    <r>
      <rPr>
        <b/>
        <sz val="11"/>
        <rFont val="Calibri"/>
        <family val="2"/>
        <scheme val="minor"/>
      </rPr>
      <t>rabais 25 %</t>
    </r>
    <r>
      <rPr>
        <sz val="11"/>
        <rFont val="Calibri"/>
        <family val="2"/>
        <scheme val="minor"/>
      </rPr>
      <t>, contrat bon à vie</t>
    </r>
  </si>
  <si>
    <t>Humania</t>
  </si>
  <si>
    <t>Sécur+, 1er jour accident</t>
  </si>
  <si>
    <t>Mensuel</t>
  </si>
  <si>
    <t>Annuel</t>
  </si>
  <si>
    <t>%</t>
  </si>
  <si>
    <t>Entrées</t>
  </si>
  <si>
    <t>Total des revenus</t>
  </si>
  <si>
    <t>Dépenses</t>
  </si>
  <si>
    <t>Résidence</t>
  </si>
  <si>
    <t>Loyer/ Hypothèque</t>
  </si>
  <si>
    <t>Hydro</t>
  </si>
  <si>
    <t>Assurance loyer/maison</t>
  </si>
  <si>
    <t>Autres (frais de condo, taxes)</t>
  </si>
  <si>
    <t>Alimentation</t>
  </si>
  <si>
    <t>Épicerie</t>
  </si>
  <si>
    <t>Alcool</t>
  </si>
  <si>
    <t>Assurance auto</t>
  </si>
  <si>
    <t xml:space="preserve">Dentiste </t>
  </si>
  <si>
    <t xml:space="preserve">Optométriste </t>
  </si>
  <si>
    <t>Pharmacie</t>
  </si>
  <si>
    <t xml:space="preserve">Autres </t>
  </si>
  <si>
    <t>Cellulaire</t>
  </si>
  <si>
    <t>Esthéticienne/ Coiffeur</t>
  </si>
  <si>
    <t>Garderie</t>
  </si>
  <si>
    <t>Animaux</t>
  </si>
  <si>
    <t>Gestion de crédit</t>
  </si>
  <si>
    <t>Remboursement crédit</t>
  </si>
  <si>
    <t>Assurance de personne</t>
  </si>
  <si>
    <t>CELI</t>
  </si>
  <si>
    <t>REER</t>
  </si>
  <si>
    <t>Autres (CRI, REEE, FERR, REER CJT)</t>
  </si>
  <si>
    <t>Autres</t>
  </si>
  <si>
    <t>Cadeaux</t>
  </si>
  <si>
    <t>Total des dépenses</t>
  </si>
  <si>
    <t>Surplus/déficit</t>
  </si>
  <si>
    <t>DDN</t>
  </si>
  <si>
    <t>Comptable cie</t>
  </si>
  <si>
    <t>2022</t>
  </si>
  <si>
    <t>Droit cotisation CELI au 1er janvier</t>
  </si>
  <si>
    <t xml:space="preserve"> </t>
  </si>
  <si>
    <t>2023</t>
  </si>
  <si>
    <t>2024</t>
  </si>
  <si>
    <t>2025</t>
  </si>
  <si>
    <t>2026</t>
  </si>
  <si>
    <t>Passif court terme</t>
  </si>
  <si>
    <t>Dettes à long terme</t>
  </si>
  <si>
    <t>Total du passif court terme</t>
  </si>
  <si>
    <t>Immeuble</t>
  </si>
  <si>
    <t>Avance de l'actionnaire</t>
  </si>
  <si>
    <t>GESCO INC</t>
  </si>
  <si>
    <t>OPCO INC</t>
  </si>
  <si>
    <t>Fin d'année fiscale GESCO</t>
  </si>
  <si>
    <t>Fin d'année fiscale OPCO</t>
  </si>
  <si>
    <t>IMPOT LATTENT</t>
  </si>
  <si>
    <t>Encaisse</t>
  </si>
  <si>
    <t>Marge crédit</t>
  </si>
  <si>
    <t>Prêt auto</t>
  </si>
  <si>
    <t>Droit cotisation REER (RAP)</t>
  </si>
  <si>
    <t xml:space="preserve">Adresse principale : </t>
  </si>
  <si>
    <t>Convention d'actionnaire</t>
  </si>
  <si>
    <t>Niveau d'épargne combiné annuel $</t>
  </si>
  <si>
    <t>Niveau d'épargne combiné annuel %</t>
  </si>
  <si>
    <t>Sommaire assurance de dommages</t>
  </si>
  <si>
    <t>Compagnie - # - date d'effet</t>
  </si>
  <si>
    <t>Date de renouvellement</t>
  </si>
  <si>
    <t>Détails</t>
  </si>
  <si>
    <t>Prime annuelle</t>
  </si>
  <si>
    <t xml:space="preserve">LaCapitale - </t>
  </si>
  <si>
    <t>unique</t>
  </si>
  <si>
    <t xml:space="preserve">maison </t>
  </si>
  <si>
    <t xml:space="preserve">bloc </t>
  </si>
  <si>
    <t>Voiture 1</t>
  </si>
  <si>
    <t>Voiture 2</t>
  </si>
  <si>
    <t>VTT</t>
  </si>
  <si>
    <t>Bateau</t>
  </si>
  <si>
    <t xml:space="preserve">Desjardins - </t>
  </si>
  <si>
    <t>Bien assuré</t>
  </si>
  <si>
    <t>franchise 500 $, valeur reconstruction 750 000 $</t>
  </si>
  <si>
    <t>% du revenu brut</t>
  </si>
  <si>
    <t>Concept de vie permanent</t>
  </si>
  <si>
    <t>Durée remb. (année)</t>
  </si>
  <si>
    <t>Paiement</t>
  </si>
  <si>
    <t>Début remboursement</t>
  </si>
  <si>
    <t>Période</t>
  </si>
  <si>
    <t>Solde début période</t>
  </si>
  <si>
    <t>Intérêt</t>
  </si>
  <si>
    <t>Capital Remb.</t>
  </si>
  <si>
    <t>Solde fin période</t>
  </si>
  <si>
    <t>TOTAL</t>
  </si>
  <si>
    <t>Coût réel de l'assurance hypothécaire des institutions financières</t>
  </si>
  <si>
    <t>Durée du prêt :</t>
  </si>
  <si>
    <t>années</t>
  </si>
  <si>
    <t>Taux d'intérêt hypothécaire :</t>
  </si>
  <si>
    <t>Coût d'assurance :</t>
  </si>
  <si>
    <t>Montant d'assurance :</t>
  </si>
  <si>
    <t>Résultats</t>
  </si>
  <si>
    <t>Sans assurance</t>
  </si>
  <si>
    <t>Avec assurance</t>
  </si>
  <si>
    <t>Taux d'intérêt :</t>
  </si>
  <si>
    <t>A :</t>
  </si>
  <si>
    <t>B :</t>
  </si>
  <si>
    <t>Coût évident :</t>
  </si>
  <si>
    <t>B - A :</t>
  </si>
  <si>
    <t>+</t>
  </si>
  <si>
    <t xml:space="preserve">Solde du prêt après </t>
  </si>
  <si>
    <t>C :</t>
  </si>
  <si>
    <t>D :</t>
  </si>
  <si>
    <t>=</t>
  </si>
  <si>
    <t>Coût total de cette assurance :</t>
  </si>
  <si>
    <t>Le solde d'un prêt décroit moins rapidement lorsque les coûts de l'assurance hypothécaire sont exprimés sous forme d'un pourcentage</t>
  </si>
  <si>
    <t>ans</t>
  </si>
  <si>
    <t>fin</t>
  </si>
  <si>
    <t>début</t>
  </si>
  <si>
    <t>Taux d'intérêt hypothécaire annuel :</t>
  </si>
  <si>
    <t>Solde après :</t>
  </si>
  <si>
    <t>i(n) :</t>
  </si>
  <si>
    <t>mensuel x 12</t>
  </si>
  <si>
    <t>a¨(n) :</t>
  </si>
  <si>
    <t>mois</t>
  </si>
  <si>
    <t>mensuel</t>
  </si>
  <si>
    <t>Pay :</t>
  </si>
  <si>
    <t>quinzaines</t>
  </si>
  <si>
    <t>à la quinzaine</t>
  </si>
  <si>
    <t xml:space="preserve">Annuel pay : </t>
  </si>
  <si>
    <t>semaines</t>
  </si>
  <si>
    <t>hebdomadaire</t>
  </si>
  <si>
    <t>Coût caché additionnel :</t>
  </si>
  <si>
    <t>Cédule Amortissement Marge Crédit/ Prêt</t>
  </si>
  <si>
    <t>Objectifs, projets et rêves</t>
  </si>
  <si>
    <t>2027</t>
  </si>
  <si>
    <t>NOTES</t>
  </si>
  <si>
    <t xml:space="preserve">Emploi #1 - Revenu net </t>
  </si>
  <si>
    <t xml:space="preserve">Emploi #2 - Revenu net </t>
  </si>
  <si>
    <t>Autres revenus (cadeau, impôt, etc.)</t>
  </si>
  <si>
    <t>Entretien (gazon, déneigement, etc.)</t>
  </si>
  <si>
    <t>Services</t>
  </si>
  <si>
    <t>Internet</t>
  </si>
  <si>
    <t>Câble (Netflix, Amazon, etc.)</t>
  </si>
  <si>
    <t>Restaurants</t>
  </si>
  <si>
    <t>Transport</t>
  </si>
  <si>
    <t>Essence</t>
  </si>
  <si>
    <t>Entretien &amp; Réparation</t>
  </si>
  <si>
    <t>Permis &amp; Immatriculation</t>
  </si>
  <si>
    <t>Santé &amp; Loisirs</t>
  </si>
  <si>
    <t>Loisirs/Sports/Livres/Etc.</t>
  </si>
  <si>
    <t>Voyage</t>
  </si>
  <si>
    <t>Vêtements</t>
  </si>
  <si>
    <t>Virements au compte conjoint</t>
  </si>
  <si>
    <t>Assurances</t>
  </si>
  <si>
    <t>Épargne &amp; Placements</t>
  </si>
  <si>
    <t>Suppléments (Walmart, Dollorama, etc.)</t>
  </si>
  <si>
    <t>Statut</t>
  </si>
  <si>
    <t>Cie - # - effet</t>
  </si>
  <si>
    <t>Henri a une assurance qui a été refusé en 2020 pour soufle cœur. Aucune assurance maladie grave parce que le client n'en voulait pas, croit suffisant l'assurance au travail</t>
  </si>
  <si>
    <t>plan février 2022</t>
  </si>
  <si>
    <t>Actuel octobre 2021</t>
  </si>
  <si>
    <t>propriétaire</t>
  </si>
  <si>
    <t>bénéficiaire</t>
  </si>
  <si>
    <t>NF/F</t>
  </si>
  <si>
    <t>Hypothèque</t>
  </si>
  <si>
    <t>Compte chèque</t>
  </si>
  <si>
    <t>OPCO</t>
  </si>
  <si>
    <t>Montant du prêt</t>
  </si>
  <si>
    <t>Personne ressource</t>
  </si>
  <si>
    <t>Comptable personnel</t>
  </si>
  <si>
    <t>Compte chèques</t>
  </si>
  <si>
    <t>Comment fonctionne la stratégie d'assurance maladie grave à propriété partagé ?</t>
  </si>
  <si>
    <t>L'actionnaire et/ou l'employé clé et l'entreprise souscrivent conjointement à une assurance maladies graves</t>
  </si>
  <si>
    <t>L'entreprise paie la portion des primes liées aux protections maladies graves</t>
  </si>
  <si>
    <t>L'actionnaire paie la portion des primes liées à l'option de remboursement des primes de l'assurance maladies graves seulement</t>
  </si>
  <si>
    <t>Si aucune prestation n'a été versé, lorsque l'entreprise annule la protection d'assurance maladie grave, l'actionnaire reçoit un montant non-imposable équivalent à la totalité des primes payées par l'actionnaire et l'entreprise.</t>
  </si>
  <si>
    <t>Procurre des liquidités à l'entreprise afin de racheter l'actionnaire en cas de maladie grave</t>
  </si>
  <si>
    <t>Si l'actionnaire est atteint d'une maladie grave :</t>
  </si>
  <si>
    <t>L'entreprise reçoit la prestation de maladie grave, non imposable</t>
  </si>
  <si>
    <t>Si l'actionnaire décède</t>
  </si>
  <si>
    <t>Total des primes payés $</t>
  </si>
  <si>
    <t xml:space="preserve">L'entreprise reçoit la prestation de décès lié au contrat corespondant aux primes payés, le tout est versé au CDC puisque considéré comme capital décès. </t>
  </si>
  <si>
    <t>Si l'actionnaire reste en bonne santé et que l'entreprise juge qu'il n'est plus nécessaire de maintenir la protection et l'annule</t>
  </si>
  <si>
    <t>Lors de l'annulation du contrat après 15 ans, il est possible pour l'actionnaire de récupérer 100 % des primes payés par lui-même et la compagnie.</t>
  </si>
  <si>
    <t>L'entreprise peut vous verser une partiellement ou totalement de la prestation de maladie grave pour entre autres :</t>
  </si>
  <si>
    <t>vous permettre de vous procurer les meilleurs soins médicaux, peu importe où ils sont offerts</t>
  </si>
  <si>
    <t>compenser la baisse de vos revenus;</t>
  </si>
  <si>
    <t>couvrir vos dépenses additionnelles (aide à domicile, réaménagement de votre résidence, remplacement du salaire de votre conjoint, etc.);</t>
  </si>
  <si>
    <t>vous aider à rembourser vos dettes.</t>
  </si>
  <si>
    <t>Cette prestation protège également la santé financière de l'entreprise, afin de :</t>
  </si>
  <si>
    <t>rembourser ses dettes</t>
  </si>
  <si>
    <t>compenser la perte de clients causée par votre absence;</t>
  </si>
  <si>
    <t>embaucher une relève pendant votre absence.</t>
  </si>
  <si>
    <t>Propriétaire</t>
  </si>
  <si>
    <t xml:space="preserve">Prime pour option remboursement de prime payé par </t>
  </si>
  <si>
    <t xml:space="preserve">Prime pour assurance maladie grave payé par </t>
  </si>
  <si>
    <t>Bénéficiaire de l'assurance</t>
  </si>
  <si>
    <t>Bénéficiaire du remboursement de prime</t>
  </si>
  <si>
    <t>Taux d'imposition de l'actionnaire</t>
  </si>
  <si>
    <t>Exemple du concept</t>
  </si>
  <si>
    <t>Prime payé par l'entreprise</t>
  </si>
  <si>
    <t>Assurance maladies graves</t>
  </si>
  <si>
    <t>Prime payé par l'actionnaire</t>
  </si>
  <si>
    <t>Prestation non imposable</t>
  </si>
  <si>
    <t>GESCO</t>
  </si>
  <si>
    <t>À la première des trois éventualités suivantes :</t>
  </si>
  <si>
    <t>1. Diagnostic de maladie grave à 50 ans</t>
  </si>
  <si>
    <t>2. Décès de l'actionnaire à 50 ans</t>
  </si>
  <si>
    <t>3. La compagnie annule le contrat à 50 ans*</t>
  </si>
  <si>
    <t>$ payé par la cie</t>
  </si>
  <si>
    <t>$ payé par l'actionnaire</t>
  </si>
  <si>
    <t>TRI fiscal 8,26%*</t>
  </si>
  <si>
    <t>4. La compagnie annule le contrat à 75 ans</t>
  </si>
  <si>
    <t>* Important : L’actionnaire ne pourra toucher la prestation de santé avant 75 ans, sans impact fiscal, que si la compagnie n'a plus besoin de la protection.</t>
  </si>
  <si>
    <r>
      <t>*Calcul du coût d'opportunité : si le 15 065</t>
    </r>
    <r>
      <rPr>
        <b/>
        <sz val="11"/>
        <color theme="1"/>
        <rFont val="Calibri"/>
        <family val="2"/>
        <scheme val="minor"/>
      </rPr>
      <t xml:space="preserve"> $ </t>
    </r>
    <r>
      <rPr>
        <sz val="11"/>
        <color theme="1"/>
        <rFont val="Calibri"/>
        <family val="2"/>
        <scheme val="minor"/>
      </rPr>
      <t>avait été versé à chaque année à l'actionnaire, selon un taux d''imposition global de 50 % sur cette somme, si l'actionnaire avait investi la somme restante de 7532,50</t>
    </r>
    <r>
      <rPr>
        <b/>
        <sz val="11"/>
        <color theme="1"/>
        <rFont val="Calibri"/>
        <family val="2"/>
        <scheme val="minor"/>
      </rPr>
      <t xml:space="preserve"> $</t>
    </r>
    <r>
      <rPr>
        <sz val="11"/>
        <color theme="1"/>
        <rFont val="Calibri"/>
        <family val="2"/>
        <scheme val="minor"/>
      </rPr>
      <t xml:space="preserve">, il lui faudra réaliser </t>
    </r>
    <r>
      <rPr>
        <b/>
        <sz val="11"/>
        <color theme="1"/>
        <rFont val="Calibri"/>
        <family val="2"/>
        <scheme val="minor"/>
      </rPr>
      <t>8,26 %</t>
    </r>
    <r>
      <rPr>
        <sz val="11"/>
        <color theme="1"/>
        <rFont val="Calibri"/>
        <family val="2"/>
        <scheme val="minor"/>
      </rPr>
      <t xml:space="preserve"> de rendement garantie à </t>
    </r>
    <r>
      <rPr>
        <u/>
        <sz val="11"/>
        <color theme="1"/>
        <rFont val="Calibri"/>
        <family val="2"/>
        <scheme val="minor"/>
      </rPr>
      <t>après impôt</t>
    </r>
    <r>
      <rPr>
        <sz val="11"/>
        <color theme="1"/>
        <rFont val="Calibri"/>
        <family val="2"/>
        <scheme val="minor"/>
      </rPr>
      <t xml:space="preserve"> pour atteindre un montant de 225 975</t>
    </r>
    <r>
      <rPr>
        <b/>
        <sz val="11"/>
        <color theme="1"/>
        <rFont val="Calibri"/>
        <family val="2"/>
        <scheme val="minor"/>
      </rPr>
      <t xml:space="preserve"> $ </t>
    </r>
    <r>
      <rPr>
        <sz val="11"/>
        <color theme="1"/>
        <rFont val="Calibri"/>
        <family val="2"/>
        <scheme val="minor"/>
      </rPr>
      <t>net.</t>
    </r>
  </si>
  <si>
    <t>Assureur</t>
  </si>
  <si>
    <t>Prestation</t>
  </si>
  <si>
    <t>Prime total annuelle</t>
  </si>
  <si>
    <t>Prime base</t>
  </si>
  <si>
    <t>frais de contrat</t>
  </si>
  <si>
    <t>Perte autonomie</t>
  </si>
  <si>
    <t>Second événement</t>
  </si>
  <si>
    <t>Option remb prime au décès</t>
  </si>
  <si>
    <t>Option remb prime flexible</t>
  </si>
  <si>
    <t>exo en cas d'invalidité</t>
  </si>
  <si>
    <t>% de la prime payé par la l'actionnaire</t>
  </si>
  <si>
    <t>BMO</t>
  </si>
  <si>
    <t>T75 remb prime après 15 ans, exo inv, remb prime décès</t>
  </si>
  <si>
    <t>CanadaVie</t>
  </si>
  <si>
    <t>T75 remb prime après 15 ans, exo inv, remb prime décès, second événement</t>
  </si>
  <si>
    <t>SunLife</t>
  </si>
  <si>
    <t>T75 remb prime à 65 ans, exo inv, remb prime décès, second événement</t>
  </si>
  <si>
    <t>T75 remb prime à 65 ans, exo inv, remb prime décès</t>
  </si>
  <si>
    <t>T100 libéré 15 ans, remb prime après 15 ans, exo inv, remb prime décès</t>
  </si>
  <si>
    <t>Court-terme : moins de 18 mois</t>
  </si>
  <si>
    <t>moyen-terme : 18 mois à 5 ans</t>
  </si>
  <si>
    <t>long-terme : 5ans et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</si>
</sst>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#,##0\ &quot;$&quot;_);[Red]\(#,##0\ &quot;$&quot;\)"/>
    <numFmt numFmtId="8" formatCode="#,##0.00\ &quot;$&quot;_);[Red]\(#,##0.00\ &quot;$&quot;\)"/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 * #,##0.00_)\ _$_ ;_ * \(#,##0.00\)\ _$_ ;_ * &quot;-&quot;??_)\ _$_ ;_ @_ "/>
    <numFmt numFmtId="168" formatCode="#,##0.0\ ;\(#,##0.0\)"/>
    <numFmt numFmtId="169" formatCode="[$$-1009]#,##0"/>
    <numFmt numFmtId="170" formatCode="[$$-1009]#,##0.00"/>
    <numFmt numFmtId="171" formatCode="_ * #,##0_)\ &quot;$&quot;_ ;_ * \(#,##0\)\ &quot;$&quot;_ ;_ * &quot;-&quot;??_)\ &quot;$&quot;_ ;_ @_ "/>
    <numFmt numFmtId="172" formatCode="_ * #,##0.00_)\ [$$-C0C]_ ;_ * \(#,##0.00\)\ [$$-C0C]_ ;_ * &quot;-&quot;??_)\ [$$-C0C]_ ;_ @_ "/>
    <numFmt numFmtId="173" formatCode="_ * #,##0_)\ [$$-C0C]_ ;_ * \(#,##0\)\ [$$-C0C]_ ;_ * &quot;-&quot;??_)\ [$$-C0C]_ ;_ @_ "/>
    <numFmt numFmtId="174" formatCode="0.0%"/>
    <numFmt numFmtId="175" formatCode="0.0000%"/>
    <numFmt numFmtId="176" formatCode="_(&quot;$&quot;* #,##0_);_(&quot;$&quot;* \(#,##0\);_(&quot;$&quot;* &quot;-&quot;??_);_(@_)"/>
  </numFmts>
  <fonts count="75" x14ac:knownFonts="1">
    <font>
      <sz val="10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color theme="1"/>
      <name val="Calibri"/>
      <family val="1"/>
      <scheme val="minor"/>
    </font>
    <font>
      <b/>
      <sz val="11"/>
      <color theme="1"/>
      <name val="Calibri"/>
      <family val="1"/>
      <scheme val="minor"/>
    </font>
    <font>
      <sz val="10"/>
      <color theme="1"/>
      <name val="Calibri"/>
      <family val="1"/>
      <scheme val="minor"/>
    </font>
    <font>
      <b/>
      <sz val="10"/>
      <color theme="1"/>
      <name val="Calibri"/>
      <family val="1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libri"/>
      <family val="2"/>
    </font>
    <font>
      <b/>
      <sz val="13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6"/>
      <color theme="0" tint="-4.9989318521683403E-2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1"/>
      <name val="Calibri"/>
      <family val="2"/>
    </font>
  </fonts>
  <fills count="29">
    <fill>
      <patternFill patternType="none"/>
    </fill>
    <fill>
      <patternFill patternType="gray125"/>
    </fill>
    <fill>
      <patternFill patternType="lightUp">
        <fgColor theme="0"/>
        <bgColor theme="4" tint="0.79998168889431442"/>
      </patternFill>
    </fill>
    <fill>
      <patternFill patternType="lightUp">
        <fgColor theme="0"/>
        <bgColor theme="5" tint="0.79998168889431442"/>
      </patternFill>
    </fill>
    <fill>
      <patternFill patternType="lightUp">
        <fgColor theme="0"/>
        <bgColor theme="4" tint="0.39997558519241921"/>
      </patternFill>
    </fill>
    <fill>
      <patternFill patternType="lightUp">
        <fgColor theme="0"/>
        <bgColor theme="5" tint="0.39997558519241921"/>
      </patternFill>
    </fill>
    <fill>
      <patternFill patternType="solid">
        <fgColor rgb="FF66FF3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lightUp">
        <fgColor theme="0"/>
        <bgColor theme="7" tint="0.39994506668294322"/>
      </patternFill>
    </fill>
    <fill>
      <patternFill patternType="lightUp">
        <fgColor theme="0"/>
        <bgColor theme="7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39997558519241921"/>
      </bottom>
      <diagonal/>
    </border>
    <border>
      <left/>
      <right/>
      <top/>
      <bottom style="thick">
        <color theme="5" tint="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ck">
        <color theme="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</borders>
  <cellStyleXfs count="42">
    <xf numFmtId="0" fontId="0" fillId="0" borderId="0"/>
    <xf numFmtId="165" fontId="15" fillId="0" borderId="0" applyFont="0" applyFill="0" applyBorder="0" applyAlignment="0" applyProtection="0"/>
    <xf numFmtId="0" fontId="16" fillId="0" borderId="2" applyNumberFormat="0" applyFill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14" fillId="0" borderId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39" fillId="0" borderId="0"/>
    <xf numFmtId="0" fontId="22" fillId="0" borderId="0"/>
    <xf numFmtId="43" fontId="22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9" fontId="2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34">
    <xf numFmtId="0" fontId="0" fillId="0" borderId="0" xfId="0"/>
    <xf numFmtId="0" fontId="18" fillId="0" borderId="2" xfId="2" applyNumberFormat="1" applyFont="1" applyAlignment="1">
      <alignment horizontal="center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168" fontId="19" fillId="0" borderId="0" xfId="0" applyNumberFormat="1" applyFont="1"/>
    <xf numFmtId="0" fontId="17" fillId="0" borderId="3" xfId="2" applyFont="1" applyBorder="1" applyAlignment="1"/>
    <xf numFmtId="0" fontId="18" fillId="0" borderId="3" xfId="2" applyNumberFormat="1" applyFont="1" applyBorder="1" applyAlignment="1">
      <alignment horizontal="center"/>
    </xf>
    <xf numFmtId="0" fontId="19" fillId="0" borderId="0" xfId="0" applyFont="1"/>
    <xf numFmtId="0" fontId="17" fillId="0" borderId="2" xfId="2" applyFont="1"/>
    <xf numFmtId="0" fontId="22" fillId="2" borderId="0" xfId="3" applyAlignment="1">
      <alignment wrapText="1"/>
    </xf>
    <xf numFmtId="0" fontId="26" fillId="3" borderId="0" xfId="4" applyFont="1" applyAlignment="1">
      <alignment wrapText="1"/>
    </xf>
    <xf numFmtId="0" fontId="26" fillId="2" borderId="0" xfId="3" applyFont="1" applyAlignment="1">
      <alignment wrapText="1"/>
    </xf>
    <xf numFmtId="0" fontId="23" fillId="0" borderId="0" xfId="0" applyFont="1" applyAlignment="1">
      <alignment horizontal="right"/>
    </xf>
    <xf numFmtId="0" fontId="0" fillId="0" borderId="7" xfId="0" applyBorder="1"/>
    <xf numFmtId="0" fontId="28" fillId="8" borderId="6" xfId="0" applyFont="1" applyFill="1" applyBorder="1" applyAlignment="1">
      <alignment horizontal="center" vertical="center"/>
    </xf>
    <xf numFmtId="0" fontId="28" fillId="8" borderId="0" xfId="0" applyFont="1" applyFill="1" applyAlignment="1">
      <alignment horizontal="center" vertical="center"/>
    </xf>
    <xf numFmtId="169" fontId="28" fillId="8" borderId="0" xfId="1" applyNumberFormat="1" applyFont="1" applyFill="1" applyAlignment="1">
      <alignment horizontal="center" vertical="center"/>
    </xf>
    <xf numFmtId="170" fontId="28" fillId="8" borderId="9" xfId="1" applyNumberFormat="1" applyFont="1" applyFill="1" applyBorder="1" applyAlignment="1">
      <alignment horizontal="center" vertical="center"/>
    </xf>
    <xf numFmtId="0" fontId="0" fillId="8" borderId="6" xfId="0" applyFill="1" applyBorder="1" applyAlignment="1">
      <alignment vertical="center"/>
    </xf>
    <xf numFmtId="0" fontId="29" fillId="8" borderId="0" xfId="0" applyFont="1" applyFill="1" applyAlignment="1">
      <alignment horizontal="left" vertical="center"/>
    </xf>
    <xf numFmtId="169" fontId="29" fillId="8" borderId="0" xfId="1" applyNumberFormat="1" applyFont="1" applyFill="1" applyAlignment="1">
      <alignment horizontal="right" vertical="center"/>
    </xf>
    <xf numFmtId="170" fontId="29" fillId="8" borderId="9" xfId="1" applyNumberFormat="1" applyFont="1" applyFill="1" applyBorder="1" applyAlignment="1">
      <alignment horizontal="right" vertical="center"/>
    </xf>
    <xf numFmtId="0" fontId="29" fillId="8" borderId="0" xfId="0" applyFont="1" applyFill="1" applyAlignment="1">
      <alignment vertical="center" wrapText="1"/>
    </xf>
    <xf numFmtId="169" fontId="0" fillId="8" borderId="13" xfId="1" applyNumberFormat="1" applyFont="1" applyFill="1" applyBorder="1" applyAlignment="1">
      <alignment horizontal="right" vertical="center"/>
    </xf>
    <xf numFmtId="0" fontId="21" fillId="4" borderId="1" xfId="0" applyFont="1" applyFill="1" applyBorder="1" applyAlignment="1">
      <alignment wrapText="1"/>
    </xf>
    <xf numFmtId="0" fontId="21" fillId="5" borderId="1" xfId="0" applyFont="1" applyFill="1" applyBorder="1" applyAlignment="1">
      <alignment wrapText="1"/>
    </xf>
    <xf numFmtId="0" fontId="23" fillId="0" borderId="3" xfId="2" applyFont="1" applyBorder="1" applyAlignment="1">
      <alignment horizontal="left" wrapText="1"/>
    </xf>
    <xf numFmtId="0" fontId="24" fillId="0" borderId="0" xfId="0" applyFont="1" applyAlignment="1">
      <alignment wrapText="1"/>
    </xf>
    <xf numFmtId="0" fontId="25" fillId="4" borderId="1" xfId="0" applyFont="1" applyFill="1" applyBorder="1" applyAlignment="1">
      <alignment wrapText="1"/>
    </xf>
    <xf numFmtId="0" fontId="38" fillId="4" borderId="19" xfId="0" applyFont="1" applyFill="1" applyBorder="1" applyAlignment="1">
      <alignment wrapText="1"/>
    </xf>
    <xf numFmtId="17" fontId="37" fillId="4" borderId="20" xfId="0" applyNumberFormat="1" applyFont="1" applyFill="1" applyBorder="1" applyAlignment="1">
      <alignment horizontal="center"/>
    </xf>
    <xf numFmtId="17" fontId="37" fillId="5" borderId="20" xfId="4" applyNumberFormat="1" applyFont="1" applyFill="1" applyBorder="1" applyAlignment="1">
      <alignment horizontal="center"/>
    </xf>
    <xf numFmtId="0" fontId="37" fillId="5" borderId="19" xfId="0" applyFont="1" applyFill="1" applyBorder="1" applyAlignment="1">
      <alignment wrapText="1"/>
    </xf>
    <xf numFmtId="0" fontId="25" fillId="13" borderId="19" xfId="4" applyFont="1" applyFill="1" applyBorder="1" applyAlignment="1">
      <alignment wrapText="1"/>
    </xf>
    <xf numFmtId="17" fontId="37" fillId="13" borderId="20" xfId="4" applyNumberFormat="1" applyFont="1" applyFill="1" applyBorder="1" applyAlignment="1">
      <alignment horizontal="center"/>
    </xf>
    <xf numFmtId="0" fontId="26" fillId="14" borderId="21" xfId="4" applyFont="1" applyFill="1" applyBorder="1" applyAlignment="1">
      <alignment wrapText="1"/>
    </xf>
    <xf numFmtId="166" fontId="22" fillId="14" borderId="22" xfId="4" applyNumberFormat="1" applyFill="1" applyBorder="1"/>
    <xf numFmtId="0" fontId="29" fillId="8" borderId="0" xfId="0" applyFont="1" applyFill="1" applyAlignment="1">
      <alignment horizontal="left" vertical="center" wrapText="1"/>
    </xf>
    <xf numFmtId="0" fontId="44" fillId="9" borderId="6" xfId="0" applyFont="1" applyFill="1" applyBorder="1" applyAlignment="1">
      <alignment horizontal="center" vertical="center"/>
    </xf>
    <xf numFmtId="0" fontId="42" fillId="11" borderId="6" xfId="0" applyFont="1" applyFill="1" applyBorder="1" applyAlignment="1">
      <alignment vertical="center"/>
    </xf>
    <xf numFmtId="169" fontId="42" fillId="0" borderId="24" xfId="1" applyNumberFormat="1" applyFont="1" applyBorder="1" applyAlignment="1">
      <alignment horizontal="right" vertical="center"/>
    </xf>
    <xf numFmtId="0" fontId="44" fillId="9" borderId="0" xfId="0" applyFont="1" applyFill="1" applyAlignment="1">
      <alignment horizontal="center" vertical="center"/>
    </xf>
    <xf numFmtId="169" fontId="44" fillId="9" borderId="0" xfId="1" applyNumberFormat="1" applyFont="1" applyFill="1" applyBorder="1" applyAlignment="1">
      <alignment horizontal="center" vertical="center"/>
    </xf>
    <xf numFmtId="0" fontId="0" fillId="15" borderId="0" xfId="0" applyFill="1" applyAlignment="1">
      <alignment horizontal="left" vertical="center"/>
    </xf>
    <xf numFmtId="0" fontId="45" fillId="9" borderId="26" xfId="0" applyFont="1" applyFill="1" applyBorder="1" applyAlignment="1">
      <alignment vertical="center"/>
    </xf>
    <xf numFmtId="0" fontId="0" fillId="9" borderId="27" xfId="0" applyFill="1" applyBorder="1" applyAlignment="1">
      <alignment vertical="center"/>
    </xf>
    <xf numFmtId="0" fontId="29" fillId="8" borderId="0" xfId="0" applyFont="1" applyFill="1" applyAlignment="1">
      <alignment vertical="center"/>
    </xf>
    <xf numFmtId="0" fontId="0" fillId="8" borderId="0" xfId="0" applyFill="1" applyAlignment="1">
      <alignment horizontal="left" vertical="center"/>
    </xf>
    <xf numFmtId="169" fontId="0" fillId="8" borderId="0" xfId="1" applyNumberFormat="1" applyFont="1" applyFill="1" applyBorder="1" applyAlignment="1">
      <alignment horizontal="right" vertical="center"/>
    </xf>
    <xf numFmtId="0" fontId="45" fillId="16" borderId="26" xfId="0" applyFont="1" applyFill="1" applyBorder="1" applyAlignment="1">
      <alignment vertical="center"/>
    </xf>
    <xf numFmtId="170" fontId="44" fillId="11" borderId="0" xfId="1" applyNumberFormat="1" applyFont="1" applyFill="1" applyBorder="1" applyAlignment="1">
      <alignment horizontal="center" vertical="center"/>
    </xf>
    <xf numFmtId="0" fontId="0" fillId="11" borderId="0" xfId="0" applyFill="1" applyAlignment="1">
      <alignment vertical="center"/>
    </xf>
    <xf numFmtId="0" fontId="48" fillId="0" borderId="0" xfId="0" applyFont="1"/>
    <xf numFmtId="170" fontId="0" fillId="0" borderId="7" xfId="1" applyNumberFormat="1" applyFont="1" applyBorder="1" applyAlignment="1">
      <alignment horizontal="right" vertical="center"/>
    </xf>
    <xf numFmtId="0" fontId="28" fillId="0" borderId="7" xfId="0" applyFont="1" applyBorder="1" applyAlignment="1">
      <alignment horizontal="center" vertical="center"/>
    </xf>
    <xf numFmtId="169" fontId="22" fillId="11" borderId="0" xfId="1" applyNumberFormat="1" applyFont="1" applyFill="1" applyBorder="1" applyAlignment="1">
      <alignment horizontal="left" vertical="center"/>
    </xf>
    <xf numFmtId="173" fontId="29" fillId="8" borderId="0" xfId="0" applyNumberFormat="1" applyFont="1" applyFill="1" applyAlignment="1">
      <alignment vertical="center" wrapText="1"/>
    </xf>
    <xf numFmtId="173" fontId="15" fillId="11" borderId="0" xfId="1" applyNumberFormat="1" applyFill="1" applyBorder="1" applyAlignment="1">
      <alignment vertical="center"/>
    </xf>
    <xf numFmtId="173" fontId="32" fillId="0" borderId="0" xfId="1" applyNumberFormat="1" applyFont="1"/>
    <xf numFmtId="173" fontId="32" fillId="0" borderId="0" xfId="1" applyNumberFormat="1" applyFont="1" applyProtection="1">
      <protection locked="0"/>
    </xf>
    <xf numFmtId="173" fontId="32" fillId="0" borderId="18" xfId="1" applyNumberFormat="1" applyFont="1" applyBorder="1"/>
    <xf numFmtId="0" fontId="42" fillId="0" borderId="0" xfId="0" applyFont="1"/>
    <xf numFmtId="0" fontId="22" fillId="0" borderId="0" xfId="0" applyFont="1"/>
    <xf numFmtId="173" fontId="22" fillId="2" borderId="0" xfId="1" applyNumberFormat="1" applyFont="1" applyFill="1"/>
    <xf numFmtId="173" fontId="17" fillId="0" borderId="2" xfId="1" applyNumberFormat="1" applyFont="1" applyBorder="1"/>
    <xf numFmtId="173" fontId="22" fillId="3" borderId="0" xfId="1" applyNumberFormat="1" applyFont="1" applyFill="1"/>
    <xf numFmtId="173" fontId="17" fillId="0" borderId="3" xfId="1" applyNumberFormat="1" applyFont="1" applyBorder="1"/>
    <xf numFmtId="173" fontId="19" fillId="0" borderId="0" xfId="0" applyNumberFormat="1" applyFont="1"/>
    <xf numFmtId="173" fontId="17" fillId="0" borderId="0" xfId="1" applyNumberFormat="1" applyFont="1" applyBorder="1"/>
    <xf numFmtId="173" fontId="29" fillId="8" borderId="0" xfId="1" applyNumberFormat="1" applyFont="1" applyFill="1" applyBorder="1" applyAlignment="1">
      <alignment horizontal="right" vertical="center"/>
    </xf>
    <xf numFmtId="173" fontId="42" fillId="0" borderId="11" xfId="1" applyNumberFormat="1" applyFont="1" applyBorder="1" applyAlignment="1">
      <alignment horizontal="right" vertical="center"/>
    </xf>
    <xf numFmtId="173" fontId="21" fillId="4" borderId="1" xfId="0" applyNumberFormat="1" applyFont="1" applyFill="1" applyBorder="1"/>
    <xf numFmtId="0" fontId="29" fillId="15" borderId="0" xfId="0" applyFont="1" applyFill="1" applyAlignment="1">
      <alignment horizontal="left" vertical="top"/>
    </xf>
    <xf numFmtId="166" fontId="22" fillId="14" borderId="22" xfId="4" applyNumberFormat="1" applyFill="1" applyBorder="1" applyAlignment="1">
      <alignment wrapText="1"/>
    </xf>
    <xf numFmtId="0" fontId="9" fillId="15" borderId="6" xfId="0" applyFont="1" applyFill="1" applyBorder="1" applyAlignment="1">
      <alignment vertical="center"/>
    </xf>
    <xf numFmtId="0" fontId="9" fillId="15" borderId="0" xfId="0" applyFont="1" applyFill="1" applyAlignment="1">
      <alignment horizontal="left" vertical="center"/>
    </xf>
    <xf numFmtId="0" fontId="9" fillId="0" borderId="8" xfId="0" applyFont="1" applyBorder="1" applyAlignment="1">
      <alignment vertical="center"/>
    </xf>
    <xf numFmtId="173" fontId="9" fillId="0" borderId="8" xfId="1" applyNumberFormat="1" applyFont="1" applyBorder="1" applyAlignment="1">
      <alignment horizontal="right" vertical="center"/>
    </xf>
    <xf numFmtId="0" fontId="9" fillId="15" borderId="0" xfId="0" applyFont="1" applyFill="1" applyAlignment="1">
      <alignment horizontal="center" vertical="center"/>
    </xf>
    <xf numFmtId="0" fontId="9" fillId="15" borderId="0" xfId="0" applyFont="1" applyFill="1" applyAlignment="1">
      <alignment vertical="center"/>
    </xf>
    <xf numFmtId="169" fontId="9" fillId="15" borderId="0" xfId="1" applyNumberFormat="1" applyFont="1" applyFill="1" applyBorder="1" applyAlignment="1">
      <alignment horizontal="right" vertical="center"/>
    </xf>
    <xf numFmtId="0" fontId="9" fillId="8" borderId="6" xfId="0" applyFont="1" applyFill="1" applyBorder="1" applyAlignment="1">
      <alignment vertical="center"/>
    </xf>
    <xf numFmtId="0" fontId="9" fillId="8" borderId="0" xfId="0" applyFont="1" applyFill="1" applyAlignment="1">
      <alignment horizontal="left" vertical="center"/>
    </xf>
    <xf numFmtId="0" fontId="9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vertical="center"/>
    </xf>
    <xf numFmtId="173" fontId="9" fillId="8" borderId="0" xfId="1" applyNumberFormat="1" applyFont="1" applyFill="1" applyBorder="1" applyAlignment="1">
      <alignment horizontal="right" vertical="center"/>
    </xf>
    <xf numFmtId="169" fontId="9" fillId="8" borderId="0" xfId="1" applyNumberFormat="1" applyFont="1" applyFill="1" applyBorder="1" applyAlignment="1">
      <alignment horizontal="right" vertical="center"/>
    </xf>
    <xf numFmtId="0" fontId="9" fillId="16" borderId="6" xfId="0" applyFont="1" applyFill="1" applyBorder="1" applyAlignment="1">
      <alignment vertical="center"/>
    </xf>
    <xf numFmtId="0" fontId="9" fillId="16" borderId="27" xfId="0" applyFont="1" applyFill="1" applyBorder="1" applyAlignment="1">
      <alignment vertical="center"/>
    </xf>
    <xf numFmtId="0" fontId="9" fillId="8" borderId="12" xfId="0" applyFont="1" applyFill="1" applyBorder="1" applyAlignment="1">
      <alignment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vertical="center"/>
    </xf>
    <xf numFmtId="169" fontId="9" fillId="8" borderId="13" xfId="1" applyNumberFormat="1" applyFont="1" applyFill="1" applyBorder="1" applyAlignment="1">
      <alignment horizontal="right" vertical="center"/>
    </xf>
    <xf numFmtId="173" fontId="21" fillId="5" borderId="1" xfId="0" applyNumberFormat="1" applyFont="1" applyFill="1" applyBorder="1"/>
    <xf numFmtId="173" fontId="37" fillId="5" borderId="30" xfId="0" applyNumberFormat="1" applyFont="1" applyFill="1" applyBorder="1"/>
    <xf numFmtId="0" fontId="42" fillId="0" borderId="0" xfId="0" applyFont="1" applyAlignment="1">
      <alignment horizontal="right"/>
    </xf>
    <xf numFmtId="0" fontId="23" fillId="0" borderId="0" xfId="2" applyFont="1" applyBorder="1" applyAlignment="1">
      <alignment horizontal="left" wrapText="1"/>
    </xf>
    <xf numFmtId="173" fontId="48" fillId="0" borderId="0" xfId="1" applyNumberFormat="1" applyFont="1"/>
    <xf numFmtId="0" fontId="48" fillId="0" borderId="0" xfId="0" applyFont="1" applyAlignment="1">
      <alignment horizontal="left" wrapText="1"/>
    </xf>
    <xf numFmtId="173" fontId="48" fillId="0" borderId="0" xfId="1" applyNumberFormat="1" applyFont="1" applyBorder="1"/>
    <xf numFmtId="0" fontId="23" fillId="0" borderId="2" xfId="2" applyFont="1" applyAlignment="1">
      <alignment wrapText="1"/>
    </xf>
    <xf numFmtId="0" fontId="19" fillId="0" borderId="0" xfId="0" applyFont="1" applyAlignment="1">
      <alignment horizontal="center"/>
    </xf>
    <xf numFmtId="9" fontId="19" fillId="0" borderId="0" xfId="15" applyFont="1" applyAlignment="1">
      <alignment horizontal="center"/>
    </xf>
    <xf numFmtId="170" fontId="44" fillId="9" borderId="0" xfId="1" applyNumberFormat="1" applyFont="1" applyFill="1" applyBorder="1" applyAlignment="1">
      <alignment horizontal="center" vertical="center"/>
    </xf>
    <xf numFmtId="170" fontId="9" fillId="15" borderId="0" xfId="1" applyNumberFormat="1" applyFont="1" applyFill="1" applyBorder="1" applyAlignment="1">
      <alignment horizontal="right" vertical="center"/>
    </xf>
    <xf numFmtId="170" fontId="28" fillId="6" borderId="4" xfId="1" applyNumberFormat="1" applyFont="1" applyFill="1" applyBorder="1" applyAlignment="1">
      <alignment horizontal="right" vertical="center"/>
    </xf>
    <xf numFmtId="170" fontId="28" fillId="6" borderId="16" xfId="1" applyNumberFormat="1" applyFont="1" applyFill="1" applyBorder="1" applyAlignment="1">
      <alignment horizontal="right" vertical="center"/>
    </xf>
    <xf numFmtId="172" fontId="29" fillId="8" borderId="0" xfId="0" applyNumberFormat="1" applyFont="1" applyFill="1" applyAlignment="1">
      <alignment vertical="center" wrapText="1"/>
    </xf>
    <xf numFmtId="172" fontId="29" fillId="8" borderId="0" xfId="1" applyNumberFormat="1" applyFont="1" applyFill="1" applyBorder="1" applyAlignment="1">
      <alignment horizontal="right" vertical="center"/>
    </xf>
    <xf numFmtId="170" fontId="29" fillId="8" borderId="0" xfId="1" applyNumberFormat="1" applyFont="1" applyFill="1" applyBorder="1" applyAlignment="1">
      <alignment horizontal="right" vertical="center"/>
    </xf>
    <xf numFmtId="170" fontId="28" fillId="8" borderId="0" xfId="1" applyNumberFormat="1" applyFont="1" applyFill="1" applyBorder="1" applyAlignment="1">
      <alignment horizontal="right" vertical="center"/>
    </xf>
    <xf numFmtId="170" fontId="28" fillId="8" borderId="13" xfId="1" applyNumberFormat="1" applyFont="1" applyFill="1" applyBorder="1" applyAlignment="1">
      <alignment horizontal="right" vertical="center"/>
    </xf>
    <xf numFmtId="172" fontId="15" fillId="11" borderId="0" xfId="1" applyNumberFormat="1" applyFill="1" applyBorder="1" applyAlignment="1">
      <alignment horizontal="right" vertical="center"/>
    </xf>
    <xf numFmtId="0" fontId="31" fillId="0" borderId="15" xfId="0" applyFont="1" applyBorder="1" applyAlignment="1">
      <alignment horizontal="center" vertical="center"/>
    </xf>
    <xf numFmtId="1" fontId="28" fillId="0" borderId="7" xfId="11" applyNumberFormat="1" applyFont="1" applyBorder="1" applyAlignment="1">
      <alignment horizontal="center" vertical="center"/>
    </xf>
    <xf numFmtId="170" fontId="0" fillId="0" borderId="7" xfId="1" applyNumberFormat="1" applyFont="1" applyBorder="1" applyAlignment="1">
      <alignment vertical="center"/>
    </xf>
    <xf numFmtId="170" fontId="9" fillId="0" borderId="7" xfId="1" applyNumberFormat="1" applyFont="1" applyBorder="1" applyAlignment="1">
      <alignment horizontal="right" vertical="center"/>
    </xf>
    <xf numFmtId="170" fontId="28" fillId="0" borderId="7" xfId="1" applyNumberFormat="1" applyFont="1" applyBorder="1" applyAlignment="1">
      <alignment horizontal="right" vertical="center"/>
    </xf>
    <xf numFmtId="170" fontId="28" fillId="0" borderId="7" xfId="1" applyNumberFormat="1" applyFont="1" applyBorder="1" applyAlignment="1">
      <alignment horizontal="center" vertical="center"/>
    </xf>
    <xf numFmtId="170" fontId="0" fillId="0" borderId="7" xfId="1" applyNumberFormat="1" applyFont="1" applyBorder="1" applyAlignment="1">
      <alignment horizontal="left" vertical="center"/>
    </xf>
    <xf numFmtId="0" fontId="0" fillId="10" borderId="7" xfId="0" applyFill="1" applyBorder="1"/>
    <xf numFmtId="172" fontId="0" fillId="17" borderId="7" xfId="1" applyNumberFormat="1" applyFont="1" applyFill="1" applyBorder="1"/>
    <xf numFmtId="49" fontId="22" fillId="0" borderId="0" xfId="11" applyNumberFormat="1" applyFont="1"/>
    <xf numFmtId="49" fontId="0" fillId="0" borderId="0" xfId="11" applyNumberFormat="1" applyFont="1"/>
    <xf numFmtId="0" fontId="22" fillId="0" borderId="2" xfId="2" applyFont="1" applyAlignment="1">
      <alignment horizontal="left"/>
    </xf>
    <xf numFmtId="49" fontId="22" fillId="0" borderId="0" xfId="0" applyNumberFormat="1" applyFont="1"/>
    <xf numFmtId="173" fontId="29" fillId="15" borderId="0" xfId="1" applyNumberFormat="1" applyFont="1" applyFill="1" applyAlignment="1">
      <alignment horizontal="right" vertical="center"/>
    </xf>
    <xf numFmtId="172" fontId="29" fillId="15" borderId="0" xfId="1" applyNumberFormat="1" applyFont="1" applyFill="1" applyAlignment="1">
      <alignment horizontal="right" vertical="center"/>
    </xf>
    <xf numFmtId="173" fontId="29" fillId="15" borderId="0" xfId="1" applyNumberFormat="1" applyFont="1" applyFill="1" applyBorder="1" applyAlignment="1">
      <alignment horizontal="right" vertical="center"/>
    </xf>
    <xf numFmtId="170" fontId="29" fillId="15" borderId="0" xfId="1" applyNumberFormat="1" applyFont="1" applyFill="1" applyBorder="1" applyAlignment="1">
      <alignment horizontal="right" vertical="center"/>
    </xf>
    <xf numFmtId="0" fontId="41" fillId="15" borderId="6" xfId="0" applyFont="1" applyFill="1" applyBorder="1" applyAlignment="1">
      <alignment vertical="center"/>
    </xf>
    <xf numFmtId="0" fontId="29" fillId="15" borderId="0" xfId="0" applyFont="1" applyFill="1" applyAlignment="1">
      <alignment horizontal="left" vertical="center"/>
    </xf>
    <xf numFmtId="0" fontId="29" fillId="15" borderId="0" xfId="0" applyFont="1" applyFill="1" applyAlignment="1">
      <alignment vertical="center"/>
    </xf>
    <xf numFmtId="0" fontId="29" fillId="20" borderId="6" xfId="0" applyFont="1" applyFill="1" applyBorder="1" applyAlignment="1">
      <alignment vertical="center"/>
    </xf>
    <xf numFmtId="0" fontId="29" fillId="15" borderId="0" xfId="0" applyFont="1" applyFill="1"/>
    <xf numFmtId="0" fontId="29" fillId="15" borderId="6" xfId="0" applyFont="1" applyFill="1" applyBorder="1" applyAlignment="1">
      <alignment vertical="center"/>
    </xf>
    <xf numFmtId="49" fontId="41" fillId="8" borderId="6" xfId="0" applyNumberFormat="1" applyFont="1" applyFill="1" applyBorder="1" applyAlignment="1">
      <alignment vertical="center"/>
    </xf>
    <xf numFmtId="0" fontId="29" fillId="8" borderId="6" xfId="0" applyFont="1" applyFill="1" applyBorder="1" applyAlignment="1">
      <alignment vertical="center"/>
    </xf>
    <xf numFmtId="49" fontId="41" fillId="8" borderId="6" xfId="0" applyNumberFormat="1" applyFont="1" applyFill="1" applyBorder="1" applyAlignment="1">
      <alignment horizontal="left" vertical="top"/>
    </xf>
    <xf numFmtId="0" fontId="31" fillId="0" borderId="15" xfId="22" applyFont="1" applyBorder="1" applyAlignment="1">
      <alignment horizontal="center" vertical="center"/>
    </xf>
    <xf numFmtId="0" fontId="22" fillId="0" borderId="0" xfId="22"/>
    <xf numFmtId="0" fontId="28" fillId="22" borderId="6" xfId="22" applyFont="1" applyFill="1" applyBorder="1" applyAlignment="1">
      <alignment horizontal="center" vertical="center"/>
    </xf>
    <xf numFmtId="0" fontId="28" fillId="22" borderId="0" xfId="22" applyFont="1" applyFill="1" applyAlignment="1">
      <alignment horizontal="center" vertical="center"/>
    </xf>
    <xf numFmtId="170" fontId="28" fillId="22" borderId="0" xfId="1" applyNumberFormat="1" applyFont="1" applyFill="1" applyBorder="1" applyAlignment="1">
      <alignment horizontal="center" vertical="center"/>
    </xf>
    <xf numFmtId="170" fontId="28" fillId="22" borderId="9" xfId="1" applyNumberFormat="1" applyFont="1" applyFill="1" applyBorder="1" applyAlignment="1">
      <alignment horizontal="center" vertical="center"/>
    </xf>
    <xf numFmtId="1" fontId="28" fillId="0" borderId="7" xfId="23" applyNumberFormat="1" applyFont="1" applyBorder="1" applyAlignment="1">
      <alignment horizontal="center" vertical="center"/>
    </xf>
    <xf numFmtId="0" fontId="29" fillId="22" borderId="6" xfId="22" applyFont="1" applyFill="1" applyBorder="1" applyAlignment="1">
      <alignment vertical="center"/>
    </xf>
    <xf numFmtId="0" fontId="29" fillId="22" borderId="0" xfId="22" applyFont="1" applyFill="1" applyAlignment="1">
      <alignment horizontal="left" vertical="center"/>
    </xf>
    <xf numFmtId="15" fontId="29" fillId="22" borderId="0" xfId="22" applyNumberFormat="1" applyFont="1" applyFill="1" applyAlignment="1">
      <alignment horizontal="center" vertical="center"/>
    </xf>
    <xf numFmtId="0" fontId="29" fillId="22" borderId="0" xfId="22" applyFont="1" applyFill="1" applyAlignment="1">
      <alignment vertical="center"/>
    </xf>
    <xf numFmtId="170" fontId="29" fillId="22" borderId="0" xfId="1" applyNumberFormat="1" applyFont="1" applyFill="1" applyBorder="1" applyAlignment="1">
      <alignment horizontal="right" vertical="center"/>
    </xf>
    <xf numFmtId="170" fontId="29" fillId="22" borderId="9" xfId="1" applyNumberFormat="1" applyFont="1" applyFill="1" applyBorder="1" applyAlignment="1">
      <alignment horizontal="right" vertical="center"/>
    </xf>
    <xf numFmtId="0" fontId="22" fillId="0" borderId="7" xfId="22" applyBorder="1"/>
    <xf numFmtId="0" fontId="8" fillId="22" borderId="6" xfId="22" applyFont="1" applyFill="1" applyBorder="1" applyAlignment="1">
      <alignment vertical="center"/>
    </xf>
    <xf numFmtId="0" fontId="8" fillId="22" borderId="0" xfId="22" applyFont="1" applyFill="1" applyAlignment="1">
      <alignment horizontal="left" vertical="center"/>
    </xf>
    <xf numFmtId="170" fontId="27" fillId="21" borderId="4" xfId="1" applyNumberFormat="1" applyFont="1" applyFill="1" applyBorder="1" applyAlignment="1">
      <alignment horizontal="right" vertical="center"/>
    </xf>
    <xf numFmtId="170" fontId="8" fillId="0" borderId="7" xfId="1" applyNumberFormat="1" applyFont="1" applyBorder="1" applyAlignment="1">
      <alignment horizontal="right" vertical="center"/>
    </xf>
    <xf numFmtId="0" fontId="8" fillId="22" borderId="0" xfId="22" applyFont="1" applyFill="1" applyAlignment="1">
      <alignment horizontal="center" vertical="center"/>
    </xf>
    <xf numFmtId="0" fontId="8" fillId="22" borderId="0" xfId="22" applyFont="1" applyFill="1" applyAlignment="1">
      <alignment vertical="center"/>
    </xf>
    <xf numFmtId="170" fontId="27" fillId="22" borderId="0" xfId="1" applyNumberFormat="1" applyFont="1" applyFill="1" applyBorder="1" applyAlignment="1">
      <alignment horizontal="right" vertical="center"/>
    </xf>
    <xf numFmtId="170" fontId="27" fillId="22" borderId="9" xfId="1" applyNumberFormat="1" applyFont="1" applyFill="1" applyBorder="1" applyAlignment="1">
      <alignment horizontal="right" vertical="center"/>
    </xf>
    <xf numFmtId="0" fontId="22" fillId="22" borderId="6" xfId="22" applyFill="1" applyBorder="1" applyAlignment="1">
      <alignment vertical="center"/>
    </xf>
    <xf numFmtId="0" fontId="8" fillId="22" borderId="12" xfId="22" applyFont="1" applyFill="1" applyBorder="1" applyAlignment="1">
      <alignment vertical="center"/>
    </xf>
    <xf numFmtId="0" fontId="22" fillId="22" borderId="13" xfId="22" applyFill="1" applyBorder="1" applyAlignment="1">
      <alignment horizontal="left" vertical="center"/>
    </xf>
    <xf numFmtId="0" fontId="8" fillId="22" borderId="13" xfId="22" applyFont="1" applyFill="1" applyBorder="1" applyAlignment="1">
      <alignment vertical="center"/>
    </xf>
    <xf numFmtId="170" fontId="8" fillId="22" borderId="13" xfId="1" applyNumberFormat="1" applyFont="1" applyFill="1" applyBorder="1" applyAlignment="1">
      <alignment horizontal="right" vertical="center"/>
    </xf>
    <xf numFmtId="170" fontId="8" fillId="22" borderId="14" xfId="1" applyNumberFormat="1" applyFont="1" applyFill="1" applyBorder="1" applyAlignment="1">
      <alignment horizontal="right" vertical="center"/>
    </xf>
    <xf numFmtId="170" fontId="8" fillId="0" borderId="31" xfId="1" applyNumberFormat="1" applyFont="1" applyBorder="1" applyAlignment="1">
      <alignment horizontal="right" vertical="center"/>
    </xf>
    <xf numFmtId="49" fontId="29" fillId="22" borderId="6" xfId="22" applyNumberFormat="1" applyFont="1" applyFill="1" applyBorder="1" applyAlignment="1">
      <alignment vertical="center"/>
    </xf>
    <xf numFmtId="174" fontId="28" fillId="24" borderId="32" xfId="15" applyNumberFormat="1" applyFont="1" applyFill="1" applyBorder="1" applyAlignment="1">
      <alignment horizontal="right" vertical="center"/>
    </xf>
    <xf numFmtId="174" fontId="43" fillId="24" borderId="32" xfId="15" applyNumberFormat="1" applyFont="1" applyFill="1" applyBorder="1" applyAlignment="1">
      <alignment horizontal="right" vertical="center"/>
    </xf>
    <xf numFmtId="0" fontId="28" fillId="24" borderId="15" xfId="0" applyFont="1" applyFill="1" applyBorder="1" applyAlignment="1">
      <alignment horizontal="center" vertical="center"/>
    </xf>
    <xf numFmtId="174" fontId="28" fillId="24" borderId="31" xfId="15" applyNumberFormat="1" applyFont="1" applyFill="1" applyBorder="1" applyAlignment="1">
      <alignment horizontal="right" vertical="center"/>
    </xf>
    <xf numFmtId="174" fontId="28" fillId="24" borderId="15" xfId="15" applyNumberFormat="1" applyFont="1" applyFill="1" applyBorder="1" applyAlignment="1">
      <alignment horizontal="right" vertical="center"/>
    </xf>
    <xf numFmtId="173" fontId="0" fillId="17" borderId="7" xfId="1" applyNumberFormat="1" applyFont="1" applyFill="1" applyBorder="1"/>
    <xf numFmtId="0" fontId="54" fillId="0" borderId="0" xfId="30" applyFont="1" applyProtection="1">
      <protection hidden="1"/>
    </xf>
    <xf numFmtId="0" fontId="54" fillId="19" borderId="0" xfId="30" applyFont="1" applyFill="1" applyProtection="1">
      <protection hidden="1"/>
    </xf>
    <xf numFmtId="0" fontId="54" fillId="19" borderId="0" xfId="30" applyFont="1" applyFill="1" applyAlignment="1" applyProtection="1">
      <alignment horizontal="center"/>
      <protection hidden="1"/>
    </xf>
    <xf numFmtId="0" fontId="43" fillId="8" borderId="8" xfId="30" applyFont="1" applyFill="1" applyBorder="1" applyAlignment="1" applyProtection="1">
      <alignment horizontal="center"/>
      <protection locked="0"/>
    </xf>
    <xf numFmtId="2" fontId="43" fillId="8" borderId="8" xfId="30" applyNumberFormat="1" applyFont="1" applyFill="1" applyBorder="1" applyAlignment="1" applyProtection="1">
      <alignment horizontal="left"/>
      <protection locked="0"/>
    </xf>
    <xf numFmtId="10" fontId="43" fillId="8" borderId="8" xfId="30" applyNumberFormat="1" applyFont="1" applyFill="1" applyBorder="1" applyAlignment="1" applyProtection="1">
      <alignment horizontal="center"/>
      <protection locked="0"/>
    </xf>
    <xf numFmtId="3" fontId="43" fillId="8" borderId="8" xfId="30" applyNumberFormat="1" applyFont="1" applyFill="1" applyBorder="1" applyAlignment="1" applyProtection="1">
      <alignment horizontal="center"/>
      <protection locked="0"/>
    </xf>
    <xf numFmtId="0" fontId="43" fillId="19" borderId="0" xfId="30" applyFont="1" applyFill="1" applyProtection="1">
      <protection hidden="1"/>
    </xf>
    <xf numFmtId="0" fontId="55" fillId="19" borderId="0" xfId="30" applyFont="1" applyFill="1" applyAlignment="1" applyProtection="1">
      <alignment horizontal="center"/>
      <protection hidden="1"/>
    </xf>
    <xf numFmtId="0" fontId="55" fillId="19" borderId="0" xfId="30" applyFont="1" applyFill="1" applyProtection="1">
      <protection hidden="1"/>
    </xf>
    <xf numFmtId="10" fontId="54" fillId="19" borderId="0" xfId="30" applyNumberFormat="1" applyFont="1" applyFill="1" applyAlignment="1" applyProtection="1">
      <alignment horizontal="center"/>
      <protection hidden="1"/>
    </xf>
    <xf numFmtId="0" fontId="54" fillId="19" borderId="0" xfId="30" applyFont="1" applyFill="1" applyAlignment="1" applyProtection="1">
      <alignment horizontal="left"/>
      <protection hidden="1"/>
    </xf>
    <xf numFmtId="0" fontId="43" fillId="19" borderId="0" xfId="30" applyFont="1" applyFill="1" applyAlignment="1" applyProtection="1">
      <alignment horizontal="right"/>
      <protection hidden="1"/>
    </xf>
    <xf numFmtId="4" fontId="54" fillId="19" borderId="0" xfId="30" applyNumberFormat="1" applyFont="1" applyFill="1" applyAlignment="1" applyProtection="1">
      <alignment horizontal="center"/>
      <protection hidden="1"/>
    </xf>
    <xf numFmtId="0" fontId="54" fillId="19" borderId="0" xfId="30" applyFont="1" applyFill="1" applyAlignment="1" applyProtection="1">
      <alignment horizontal="right"/>
      <protection hidden="1"/>
    </xf>
    <xf numFmtId="0" fontId="56" fillId="19" borderId="0" xfId="30" applyFont="1" applyFill="1" applyAlignment="1" applyProtection="1">
      <alignment horizontal="left"/>
      <protection hidden="1"/>
    </xf>
    <xf numFmtId="0" fontId="56" fillId="0" borderId="0" xfId="30" applyFont="1" applyProtection="1">
      <protection hidden="1"/>
    </xf>
    <xf numFmtId="0" fontId="56" fillId="19" borderId="0" xfId="30" applyFont="1" applyFill="1" applyProtection="1">
      <protection hidden="1"/>
    </xf>
    <xf numFmtId="0" fontId="43" fillId="19" borderId="8" xfId="30" applyFont="1" applyFill="1" applyBorder="1" applyAlignment="1" applyProtection="1">
      <alignment horizontal="center"/>
      <protection hidden="1"/>
    </xf>
    <xf numFmtId="4" fontId="57" fillId="27" borderId="8" xfId="30" applyNumberFormat="1" applyFont="1" applyFill="1" applyBorder="1" applyAlignment="1" applyProtection="1">
      <alignment horizontal="center"/>
      <protection hidden="1"/>
    </xf>
    <xf numFmtId="2" fontId="54" fillId="19" borderId="0" xfId="30" applyNumberFormat="1" applyFont="1" applyFill="1" applyProtection="1">
      <protection hidden="1"/>
    </xf>
    <xf numFmtId="3" fontId="54" fillId="19" borderId="0" xfId="30" applyNumberFormat="1" applyFont="1" applyFill="1" applyAlignment="1" applyProtection="1">
      <alignment horizontal="center"/>
      <protection hidden="1"/>
    </xf>
    <xf numFmtId="0" fontId="56" fillId="19" borderId="0" xfId="30" applyFont="1" applyFill="1" applyAlignment="1" applyProtection="1">
      <alignment horizontal="center"/>
      <protection hidden="1"/>
    </xf>
    <xf numFmtId="0" fontId="43" fillId="19" borderId="0" xfId="30" applyFont="1" applyFill="1" applyAlignment="1" applyProtection="1">
      <alignment horizontal="center" vertical="center"/>
      <protection hidden="1"/>
    </xf>
    <xf numFmtId="0" fontId="43" fillId="19" borderId="0" xfId="30" applyFont="1" applyFill="1" applyAlignment="1" applyProtection="1">
      <alignment horizontal="left"/>
      <protection hidden="1"/>
    </xf>
    <xf numFmtId="4" fontId="44" fillId="27" borderId="8" xfId="30" applyNumberFormat="1" applyFont="1" applyFill="1" applyBorder="1" applyAlignment="1" applyProtection="1">
      <alignment horizontal="center"/>
      <protection hidden="1"/>
    </xf>
    <xf numFmtId="0" fontId="58" fillId="19" borderId="0" xfId="30" applyFont="1" applyFill="1" applyProtection="1">
      <protection hidden="1"/>
    </xf>
    <xf numFmtId="0" fontId="58" fillId="19" borderId="0" xfId="30" applyFont="1" applyFill="1" applyAlignment="1" applyProtection="1">
      <alignment horizontal="center"/>
      <protection hidden="1"/>
    </xf>
    <xf numFmtId="0" fontId="58" fillId="19" borderId="8" xfId="30" applyFont="1" applyFill="1" applyBorder="1" applyAlignment="1" applyProtection="1">
      <alignment horizontal="center"/>
      <protection hidden="1"/>
    </xf>
    <xf numFmtId="10" fontId="58" fillId="19" borderId="0" xfId="30" applyNumberFormat="1" applyFont="1" applyFill="1" applyAlignment="1" applyProtection="1">
      <alignment horizontal="center"/>
      <protection hidden="1"/>
    </xf>
    <xf numFmtId="2" fontId="58" fillId="19" borderId="0" xfId="30" applyNumberFormat="1" applyFont="1" applyFill="1" applyAlignment="1" applyProtection="1">
      <alignment horizontal="left"/>
      <protection hidden="1"/>
    </xf>
    <xf numFmtId="175" fontId="58" fillId="19" borderId="0" xfId="31" applyNumberFormat="1" applyFont="1" applyFill="1" applyBorder="1" applyAlignment="1" applyProtection="1">
      <alignment horizontal="center"/>
      <protection hidden="1"/>
    </xf>
    <xf numFmtId="10" fontId="58" fillId="19" borderId="0" xfId="31" applyNumberFormat="1" applyFont="1" applyFill="1" applyAlignment="1" applyProtection="1">
      <alignment horizontal="center"/>
      <protection hidden="1"/>
    </xf>
    <xf numFmtId="8" fontId="58" fillId="19" borderId="0" xfId="30" applyNumberFormat="1" applyFont="1" applyFill="1" applyProtection="1">
      <protection hidden="1"/>
    </xf>
    <xf numFmtId="4" fontId="58" fillId="19" borderId="0" xfId="30" applyNumberFormat="1" applyFont="1" applyFill="1" applyAlignment="1" applyProtection="1">
      <alignment horizontal="center"/>
      <protection hidden="1"/>
    </xf>
    <xf numFmtId="2" fontId="58" fillId="19" borderId="0" xfId="30" applyNumberFormat="1" applyFont="1" applyFill="1" applyProtection="1">
      <protection hidden="1"/>
    </xf>
    <xf numFmtId="0" fontId="7" fillId="19" borderId="0" xfId="24" applyFill="1" applyProtection="1">
      <protection hidden="1"/>
    </xf>
    <xf numFmtId="0" fontId="7" fillId="0" borderId="0" xfId="24" applyProtection="1">
      <protection hidden="1"/>
    </xf>
    <xf numFmtId="44" fontId="7" fillId="0" borderId="0" xfId="24" applyNumberFormat="1" applyProtection="1">
      <protection hidden="1"/>
    </xf>
    <xf numFmtId="44" fontId="0" fillId="0" borderId="0" xfId="27" applyFont="1" applyProtection="1">
      <protection hidden="1"/>
    </xf>
    <xf numFmtId="0" fontId="7" fillId="0" borderId="0" xfId="24" applyAlignment="1" applyProtection="1">
      <alignment horizontal="center"/>
      <protection hidden="1"/>
    </xf>
    <xf numFmtId="0" fontId="27" fillId="26" borderId="0" xfId="24" applyFont="1" applyFill="1" applyAlignment="1" applyProtection="1">
      <alignment horizontal="center" vertical="center"/>
      <protection hidden="1"/>
    </xf>
    <xf numFmtId="0" fontId="27" fillId="26" borderId="0" xfId="24" applyFont="1" applyFill="1" applyAlignment="1" applyProtection="1">
      <alignment horizontal="center" vertical="center" wrapText="1"/>
      <protection hidden="1"/>
    </xf>
    <xf numFmtId="8" fontId="0" fillId="25" borderId="0" xfId="27" applyNumberFormat="1" applyFont="1" applyFill="1" applyProtection="1">
      <protection hidden="1"/>
    </xf>
    <xf numFmtId="10" fontId="0" fillId="19" borderId="0" xfId="26" applyNumberFormat="1" applyFont="1" applyFill="1" applyProtection="1">
      <protection hidden="1"/>
    </xf>
    <xf numFmtId="44" fontId="0" fillId="19" borderId="0" xfId="27" applyFont="1" applyFill="1" applyProtection="1">
      <protection hidden="1"/>
    </xf>
    <xf numFmtId="44" fontId="7" fillId="19" borderId="0" xfId="24" applyNumberFormat="1" applyFill="1" applyProtection="1">
      <protection hidden="1"/>
    </xf>
    <xf numFmtId="0" fontId="54" fillId="0" borderId="0" xfId="24" applyFont="1" applyAlignment="1" applyProtection="1">
      <alignment horizontal="center" vertical="center" wrapText="1"/>
      <protection hidden="1"/>
    </xf>
    <xf numFmtId="0" fontId="54" fillId="0" borderId="0" xfId="24" applyFont="1" applyAlignment="1" applyProtection="1">
      <alignment horizontal="center" vertical="center"/>
      <protection hidden="1"/>
    </xf>
    <xf numFmtId="8" fontId="7" fillId="0" borderId="0" xfId="24" applyNumberFormat="1" applyAlignment="1" applyProtection="1">
      <alignment horizontal="center"/>
      <protection hidden="1"/>
    </xf>
    <xf numFmtId="8" fontId="7" fillId="0" borderId="0" xfId="24" applyNumberFormat="1" applyProtection="1">
      <protection hidden="1"/>
    </xf>
    <xf numFmtId="17" fontId="7" fillId="0" borderId="0" xfId="24" applyNumberFormat="1" applyProtection="1">
      <protection hidden="1"/>
    </xf>
    <xf numFmtId="10" fontId="0" fillId="28" borderId="0" xfId="26" applyNumberFormat="1" applyFont="1" applyFill="1" applyProtection="1">
      <protection locked="0"/>
    </xf>
    <xf numFmtId="0" fontId="7" fillId="28" borderId="0" xfId="24" applyFill="1" applyAlignment="1" applyProtection="1">
      <alignment horizontal="center"/>
      <protection locked="0"/>
    </xf>
    <xf numFmtId="171" fontId="22" fillId="28" borderId="0" xfId="27" applyNumberFormat="1" applyFont="1" applyFill="1" applyProtection="1">
      <protection locked="0"/>
    </xf>
    <xf numFmtId="0" fontId="19" fillId="0" borderId="0" xfId="0" applyFont="1" applyProtection="1">
      <protection locked="0"/>
    </xf>
    <xf numFmtId="0" fontId="0" fillId="0" borderId="0" xfId="0" applyProtection="1">
      <protection locked="0"/>
    </xf>
    <xf numFmtId="0" fontId="17" fillId="0" borderId="2" xfId="2" applyFont="1" applyAlignment="1" applyProtection="1">
      <alignment horizontal="right"/>
      <protection locked="0"/>
    </xf>
    <xf numFmtId="0" fontId="17" fillId="0" borderId="2" xfId="2" applyFont="1" applyAlignment="1" applyProtection="1">
      <alignment horizontal="center"/>
      <protection locked="0"/>
    </xf>
    <xf numFmtId="0" fontId="18" fillId="0" borderId="2" xfId="2" applyNumberFormat="1" applyFont="1" applyAlignment="1" applyProtection="1">
      <alignment horizontal="center"/>
      <protection locked="0"/>
    </xf>
    <xf numFmtId="0" fontId="23" fillId="0" borderId="2" xfId="2" applyFont="1" applyAlignment="1" applyProtection="1">
      <alignment horizontal="right"/>
      <protection locked="0"/>
    </xf>
    <xf numFmtId="0" fontId="24" fillId="0" borderId="0" xfId="0" applyFont="1" applyAlignment="1" applyProtection="1">
      <alignment wrapText="1"/>
      <protection locked="0"/>
    </xf>
    <xf numFmtId="0" fontId="20" fillId="0" borderId="0" xfId="0" applyFont="1" applyProtection="1">
      <protection locked="0"/>
    </xf>
    <xf numFmtId="0" fontId="38" fillId="4" borderId="19" xfId="0" applyFont="1" applyFill="1" applyBorder="1" applyAlignment="1" applyProtection="1">
      <alignment wrapText="1"/>
      <protection locked="0"/>
    </xf>
    <xf numFmtId="17" fontId="37" fillId="4" borderId="20" xfId="0" quotePrefix="1" applyNumberFormat="1" applyFont="1" applyFill="1" applyBorder="1" applyAlignment="1" applyProtection="1">
      <alignment horizontal="center"/>
      <protection locked="0"/>
    </xf>
    <xf numFmtId="0" fontId="26" fillId="2" borderId="0" xfId="3" applyFont="1" applyAlignment="1" applyProtection="1">
      <alignment wrapText="1"/>
      <protection locked="0"/>
    </xf>
    <xf numFmtId="172" fontId="22" fillId="2" borderId="0" xfId="1" applyNumberFormat="1" applyFont="1" applyFill="1" applyProtection="1">
      <protection locked="0"/>
    </xf>
    <xf numFmtId="173" fontId="22" fillId="2" borderId="0" xfId="1" applyNumberFormat="1" applyFont="1" applyFill="1" applyProtection="1">
      <protection locked="0"/>
    </xf>
    <xf numFmtId="9" fontId="22" fillId="2" borderId="0" xfId="15" applyFont="1" applyFill="1" applyProtection="1">
      <protection locked="0"/>
    </xf>
    <xf numFmtId="0" fontId="21" fillId="4" borderId="1" xfId="0" applyFont="1" applyFill="1" applyBorder="1" applyAlignment="1" applyProtection="1">
      <alignment wrapText="1"/>
      <protection locked="0"/>
    </xf>
    <xf numFmtId="172" fontId="21" fillId="4" borderId="1" xfId="0" applyNumberFormat="1" applyFont="1" applyFill="1" applyBorder="1" applyProtection="1">
      <protection locked="0"/>
    </xf>
    <xf numFmtId="0" fontId="48" fillId="0" borderId="0" xfId="0" applyFont="1" applyProtection="1">
      <protection locked="0"/>
    </xf>
    <xf numFmtId="17" fontId="37" fillId="4" borderId="20" xfId="0" applyNumberFormat="1" applyFont="1" applyFill="1" applyBorder="1" applyAlignment="1" applyProtection="1">
      <alignment horizontal="center"/>
      <protection locked="0"/>
    </xf>
    <xf numFmtId="0" fontId="38" fillId="13" borderId="19" xfId="4" applyFont="1" applyFill="1" applyBorder="1" applyAlignment="1" applyProtection="1">
      <alignment wrapText="1"/>
      <protection locked="0"/>
    </xf>
    <xf numFmtId="17" fontId="37" fillId="13" borderId="20" xfId="4" applyNumberFormat="1" applyFont="1" applyFill="1" applyBorder="1" applyAlignment="1" applyProtection="1">
      <alignment horizontal="center"/>
      <protection locked="0"/>
    </xf>
    <xf numFmtId="0" fontId="26" fillId="14" borderId="21" xfId="4" applyFont="1" applyFill="1" applyBorder="1" applyAlignment="1" applyProtection="1">
      <alignment wrapText="1"/>
      <protection locked="0"/>
    </xf>
    <xf numFmtId="166" fontId="22" fillId="14" borderId="22" xfId="4" applyNumberFormat="1" applyFill="1" applyBorder="1" applyAlignment="1" applyProtection="1">
      <alignment vertical="top" wrapText="1"/>
      <protection locked="0"/>
    </xf>
    <xf numFmtId="166" fontId="22" fillId="14" borderId="23" xfId="4" applyNumberFormat="1" applyFill="1" applyBorder="1" applyProtection="1"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17" fillId="0" borderId="2" xfId="2" applyFont="1" applyAlignment="1" applyProtection="1">
      <alignment horizontal="right"/>
    </xf>
    <xf numFmtId="0" fontId="17" fillId="0" borderId="2" xfId="2" applyFo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173" fontId="21" fillId="4" borderId="1" xfId="0" applyNumberFormat="1" applyFont="1" applyFill="1" applyBorder="1" applyProtection="1">
      <protection locked="0"/>
    </xf>
    <xf numFmtId="0" fontId="22" fillId="2" borderId="0" xfId="3" applyAlignment="1" applyProtection="1">
      <alignment wrapText="1"/>
      <protection locked="0"/>
    </xf>
    <xf numFmtId="0" fontId="25" fillId="4" borderId="1" xfId="0" applyFont="1" applyFill="1" applyBorder="1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168" fontId="19" fillId="0" borderId="0" xfId="0" applyNumberFormat="1" applyFont="1" applyProtection="1">
      <protection locked="0"/>
    </xf>
    <xf numFmtId="0" fontId="23" fillId="0" borderId="2" xfId="2" applyFont="1" applyAlignment="1" applyProtection="1">
      <alignment wrapText="1"/>
      <protection locked="0"/>
    </xf>
    <xf numFmtId="173" fontId="17" fillId="0" borderId="2" xfId="1" applyNumberFormat="1" applyFont="1" applyBorder="1" applyProtection="1">
      <protection locked="0"/>
    </xf>
    <xf numFmtId="0" fontId="17" fillId="0" borderId="3" xfId="2" applyFont="1" applyBorder="1" applyAlignment="1" applyProtection="1">
      <protection locked="0"/>
    </xf>
    <xf numFmtId="0" fontId="18" fillId="0" borderId="3" xfId="2" applyNumberFormat="1" applyFont="1" applyBorder="1" applyAlignment="1" applyProtection="1">
      <alignment horizontal="center"/>
      <protection locked="0"/>
    </xf>
    <xf numFmtId="0" fontId="37" fillId="5" borderId="19" xfId="0" applyFont="1" applyFill="1" applyBorder="1" applyAlignment="1" applyProtection="1">
      <alignment wrapText="1"/>
      <protection locked="0"/>
    </xf>
    <xf numFmtId="17" fontId="37" fillId="5" borderId="20" xfId="4" applyNumberFormat="1" applyFont="1" applyFill="1" applyBorder="1" applyAlignment="1" applyProtection="1">
      <alignment horizontal="center"/>
      <protection locked="0"/>
    </xf>
    <xf numFmtId="0" fontId="26" fillId="3" borderId="0" xfId="4" applyFont="1" applyAlignment="1" applyProtection="1">
      <alignment wrapText="1"/>
      <protection locked="0"/>
    </xf>
    <xf numFmtId="173" fontId="22" fillId="3" borderId="0" xfId="1" applyNumberFormat="1" applyFont="1" applyFill="1" applyProtection="1">
      <protection locked="0"/>
    </xf>
    <xf numFmtId="0" fontId="21" fillId="5" borderId="1" xfId="0" applyFont="1" applyFill="1" applyBorder="1" applyAlignment="1" applyProtection="1">
      <alignment wrapText="1"/>
      <protection locked="0"/>
    </xf>
    <xf numFmtId="173" fontId="21" fillId="5" borderId="1" xfId="0" applyNumberFormat="1" applyFont="1" applyFill="1" applyBorder="1" applyProtection="1">
      <protection locked="0"/>
    </xf>
    <xf numFmtId="173" fontId="37" fillId="5" borderId="30" xfId="0" applyNumberFormat="1" applyFont="1" applyFill="1" applyBorder="1" applyProtection="1">
      <protection locked="0"/>
    </xf>
    <xf numFmtId="173" fontId="48" fillId="0" borderId="0" xfId="1" applyNumberFormat="1" applyFont="1" applyProtection="1">
      <protection locked="0"/>
    </xf>
    <xf numFmtId="0" fontId="48" fillId="0" borderId="0" xfId="0" applyFont="1" applyAlignment="1" applyProtection="1">
      <alignment horizontal="left" wrapText="1"/>
      <protection locked="0"/>
    </xf>
    <xf numFmtId="173" fontId="48" fillId="0" borderId="0" xfId="1" applyNumberFormat="1" applyFont="1" applyBorder="1" applyProtection="1">
      <protection locked="0"/>
    </xf>
    <xf numFmtId="0" fontId="23" fillId="0" borderId="3" xfId="2" applyFont="1" applyBorder="1" applyAlignment="1" applyProtection="1">
      <alignment horizontal="left" wrapText="1"/>
      <protection locked="0"/>
    </xf>
    <xf numFmtId="173" fontId="17" fillId="0" borderId="3" xfId="1" applyNumberFormat="1" applyFont="1" applyBorder="1" applyProtection="1">
      <protection locked="0"/>
    </xf>
    <xf numFmtId="0" fontId="50" fillId="0" borderId="0" xfId="2" applyFont="1" applyBorder="1" applyAlignment="1" applyProtection="1">
      <alignment horizontal="left" wrapText="1"/>
      <protection locked="0"/>
    </xf>
    <xf numFmtId="173" fontId="51" fillId="0" borderId="0" xfId="1" applyNumberFormat="1" applyFont="1" applyBorder="1" applyProtection="1">
      <protection locked="0"/>
    </xf>
    <xf numFmtId="173" fontId="19" fillId="0" borderId="0" xfId="0" applyNumberFormat="1" applyFont="1" applyProtection="1">
      <protection locked="0"/>
    </xf>
    <xf numFmtId="0" fontId="23" fillId="0" borderId="0" xfId="0" applyFont="1" applyAlignment="1" applyProtection="1">
      <alignment horizontal="right"/>
      <protection locked="0"/>
    </xf>
    <xf numFmtId="173" fontId="17" fillId="0" borderId="0" xfId="1" applyNumberFormat="1" applyFont="1" applyBorder="1" applyProtection="1">
      <protection locked="0"/>
    </xf>
    <xf numFmtId="0" fontId="42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9" fontId="19" fillId="0" borderId="0" xfId="15" applyFont="1" applyAlignment="1" applyProtection="1">
      <alignment horizontal="center"/>
      <protection locked="0"/>
    </xf>
    <xf numFmtId="0" fontId="25" fillId="13" borderId="19" xfId="4" applyFont="1" applyFill="1" applyBorder="1" applyAlignment="1" applyProtection="1">
      <alignment wrapText="1"/>
      <protection locked="0"/>
    </xf>
    <xf numFmtId="166" fontId="22" fillId="14" borderId="22" xfId="4" applyNumberFormat="1" applyFill="1" applyBorder="1" applyAlignment="1" applyProtection="1">
      <alignment wrapText="1"/>
      <protection locked="0"/>
    </xf>
    <xf numFmtId="166" fontId="22" fillId="14" borderId="22" xfId="4" applyNumberFormat="1" applyFill="1" applyBorder="1" applyProtection="1">
      <protection locked="0"/>
    </xf>
    <xf numFmtId="0" fontId="17" fillId="0" borderId="2" xfId="2" applyFont="1" applyProtection="1"/>
    <xf numFmtId="0" fontId="0" fillId="0" borderId="0" xfId="0" applyProtection="1">
      <protection hidden="1"/>
    </xf>
    <xf numFmtId="0" fontId="23" fillId="0" borderId="2" xfId="2" applyFont="1" applyAlignment="1" applyProtection="1">
      <alignment horizontal="left"/>
      <protection locked="0"/>
    </xf>
    <xf numFmtId="9" fontId="33" fillId="0" borderId="0" xfId="36" applyFont="1" applyAlignment="1">
      <alignment horizontal="center" vertical="center"/>
    </xf>
    <xf numFmtId="9" fontId="32" fillId="0" borderId="0" xfId="36" applyFont="1" applyAlignment="1">
      <alignment horizontal="center"/>
    </xf>
    <xf numFmtId="173" fontId="32" fillId="18" borderId="13" xfId="1" applyNumberFormat="1" applyFont="1" applyFill="1" applyBorder="1"/>
    <xf numFmtId="9" fontId="33" fillId="18" borderId="13" xfId="36" applyFont="1" applyFill="1" applyBorder="1" applyAlignment="1">
      <alignment horizontal="center"/>
    </xf>
    <xf numFmtId="174" fontId="32" fillId="0" borderId="0" xfId="36" applyNumberFormat="1" applyFont="1" applyAlignment="1">
      <alignment horizontal="right"/>
    </xf>
    <xf numFmtId="173" fontId="33" fillId="0" borderId="0" xfId="1" applyNumberFormat="1" applyFont="1" applyProtection="1">
      <protection locked="0"/>
    </xf>
    <xf numFmtId="174" fontId="33" fillId="0" borderId="0" xfId="36" applyNumberFormat="1" applyFont="1" applyAlignment="1" applyProtection="1">
      <alignment horizontal="right"/>
      <protection locked="0"/>
    </xf>
    <xf numFmtId="173" fontId="33" fillId="18" borderId="13" xfId="1" applyNumberFormat="1" applyFont="1" applyFill="1" applyBorder="1" applyProtection="1">
      <protection locked="0"/>
    </xf>
    <xf numFmtId="173" fontId="32" fillId="18" borderId="13" xfId="1" applyNumberFormat="1" applyFont="1" applyFill="1" applyBorder="1" applyProtection="1">
      <protection locked="0"/>
    </xf>
    <xf numFmtId="9" fontId="33" fillId="18" borderId="13" xfId="36" applyFont="1" applyFill="1" applyBorder="1" applyAlignment="1">
      <alignment horizontal="right"/>
    </xf>
    <xf numFmtId="172" fontId="32" fillId="0" borderId="0" xfId="1" applyNumberFormat="1" applyFont="1"/>
    <xf numFmtId="174" fontId="33" fillId="0" borderId="0" xfId="36" applyNumberFormat="1" applyFont="1" applyAlignment="1">
      <alignment horizontal="right"/>
    </xf>
    <xf numFmtId="10" fontId="32" fillId="0" borderId="0" xfId="36" applyNumberFormat="1" applyFont="1"/>
    <xf numFmtId="174" fontId="32" fillId="18" borderId="13" xfId="36" applyNumberFormat="1" applyFont="1" applyFill="1" applyBorder="1" applyAlignment="1">
      <alignment horizontal="right"/>
    </xf>
    <xf numFmtId="9" fontId="32" fillId="0" borderId="0" xfId="36" applyFont="1" applyAlignment="1">
      <alignment horizontal="right"/>
    </xf>
    <xf numFmtId="9" fontId="32" fillId="0" borderId="18" xfId="36" applyFont="1" applyBorder="1" applyAlignment="1">
      <alignment horizontal="center"/>
    </xf>
    <xf numFmtId="173" fontId="33" fillId="19" borderId="0" xfId="1" applyNumberFormat="1" applyFont="1" applyFill="1" applyAlignment="1">
      <alignment horizontal="center" vertical="center"/>
    </xf>
    <xf numFmtId="9" fontId="33" fillId="19" borderId="0" xfId="36" applyFont="1" applyFill="1" applyAlignment="1">
      <alignment horizontal="center" vertical="center"/>
    </xf>
    <xf numFmtId="173" fontId="32" fillId="19" borderId="0" xfId="1" applyNumberFormat="1" applyFont="1" applyFill="1"/>
    <xf numFmtId="9" fontId="32" fillId="19" borderId="0" xfId="36" applyFont="1" applyFill="1" applyAlignment="1">
      <alignment horizontal="center"/>
    </xf>
    <xf numFmtId="173" fontId="33" fillId="19" borderId="0" xfId="1" applyNumberFormat="1" applyFont="1" applyFill="1"/>
    <xf numFmtId="173" fontId="32" fillId="19" borderId="0" xfId="1" applyNumberFormat="1" applyFont="1" applyFill="1" applyAlignment="1">
      <alignment horizontal="right"/>
    </xf>
    <xf numFmtId="9" fontId="32" fillId="19" borderId="0" xfId="36" applyFont="1" applyFill="1" applyAlignment="1">
      <alignment horizontal="right"/>
    </xf>
    <xf numFmtId="173" fontId="32" fillId="19" borderId="0" xfId="1" applyNumberFormat="1" applyFont="1" applyFill="1" applyProtection="1">
      <protection locked="0"/>
    </xf>
    <xf numFmtId="0" fontId="44" fillId="11" borderId="17" xfId="0" applyFont="1" applyFill="1" applyBorder="1" applyAlignment="1">
      <alignment horizontal="center" vertical="center"/>
    </xf>
    <xf numFmtId="0" fontId="44" fillId="11" borderId="0" xfId="0" applyFont="1" applyFill="1" applyAlignment="1">
      <alignment horizontal="center" vertical="center"/>
    </xf>
    <xf numFmtId="0" fontId="44" fillId="16" borderId="6" xfId="0" applyFont="1" applyFill="1" applyBorder="1" applyAlignment="1">
      <alignment horizontal="center" vertical="center"/>
    </xf>
    <xf numFmtId="0" fontId="44" fillId="16" borderId="0" xfId="0" applyFont="1" applyFill="1" applyAlignment="1">
      <alignment horizontal="center" vertical="center"/>
    </xf>
    <xf numFmtId="169" fontId="44" fillId="16" borderId="0" xfId="1" applyNumberFormat="1" applyFont="1" applyFill="1" applyBorder="1" applyAlignment="1">
      <alignment horizontal="center" vertical="center"/>
    </xf>
    <xf numFmtId="170" fontId="44" fillId="16" borderId="0" xfId="1" applyNumberFormat="1" applyFont="1" applyFill="1" applyBorder="1" applyAlignment="1">
      <alignment horizontal="center" vertical="center"/>
    </xf>
    <xf numFmtId="170" fontId="0" fillId="0" borderId="0" xfId="0" applyNumberFormat="1"/>
    <xf numFmtId="170" fontId="22" fillId="0" borderId="7" xfId="1" applyNumberFormat="1" applyFont="1" applyBorder="1" applyAlignment="1">
      <alignment horizontal="right" vertical="center"/>
    </xf>
    <xf numFmtId="0" fontId="32" fillId="19" borderId="0" xfId="38" applyFont="1" applyFill="1" applyAlignment="1">
      <alignment horizontal="center" vertical="center"/>
    </xf>
    <xf numFmtId="0" fontId="32" fillId="19" borderId="0" xfId="38" applyFont="1" applyFill="1" applyAlignment="1">
      <alignment horizontal="center"/>
    </xf>
    <xf numFmtId="0" fontId="32" fillId="0" borderId="0" xfId="38" applyFont="1" applyAlignment="1">
      <alignment horizontal="center" vertical="center"/>
    </xf>
    <xf numFmtId="0" fontId="32" fillId="19" borderId="0" xfId="38" applyFont="1" applyFill="1"/>
    <xf numFmtId="0" fontId="32" fillId="0" borderId="0" xfId="38" applyFont="1"/>
    <xf numFmtId="0" fontId="46" fillId="19" borderId="0" xfId="38" applyFont="1" applyFill="1"/>
    <xf numFmtId="0" fontId="33" fillId="19" borderId="0" xfId="38" applyFont="1" applyFill="1" applyAlignment="1">
      <alignment horizontal="right"/>
    </xf>
    <xf numFmtId="0" fontId="46" fillId="0" borderId="0" xfId="38" applyFont="1"/>
    <xf numFmtId="0" fontId="32" fillId="18" borderId="13" xfId="38" applyFont="1" applyFill="1" applyBorder="1"/>
    <xf numFmtId="0" fontId="33" fillId="18" borderId="13" xfId="38" applyFont="1" applyFill="1" applyBorder="1"/>
    <xf numFmtId="173" fontId="60" fillId="18" borderId="13" xfId="1" applyNumberFormat="1" applyFont="1" applyFill="1" applyBorder="1" applyProtection="1">
      <protection locked="0"/>
    </xf>
    <xf numFmtId="9" fontId="33" fillId="16" borderId="17" xfId="38" applyNumberFormat="1" applyFont="1" applyFill="1" applyBorder="1" applyAlignment="1">
      <alignment horizontal="center" vertical="center"/>
    </xf>
    <xf numFmtId="0" fontId="47" fillId="0" borderId="0" xfId="38" applyFont="1"/>
    <xf numFmtId="9" fontId="33" fillId="18" borderId="13" xfId="38" applyNumberFormat="1" applyFont="1" applyFill="1" applyBorder="1" applyAlignment="1">
      <alignment horizontal="center" vertical="center"/>
    </xf>
    <xf numFmtId="9" fontId="33" fillId="16" borderId="0" xfId="38" applyNumberFormat="1" applyFont="1" applyFill="1" applyAlignment="1">
      <alignment horizontal="center" vertical="center"/>
    </xf>
    <xf numFmtId="0" fontId="33" fillId="0" borderId="0" xfId="38" applyFont="1" applyAlignment="1">
      <alignment horizontal="right"/>
    </xf>
    <xf numFmtId="9" fontId="32" fillId="18" borderId="13" xfId="38" applyNumberFormat="1" applyFont="1" applyFill="1" applyBorder="1" applyAlignment="1">
      <alignment vertical="center"/>
    </xf>
    <xf numFmtId="173" fontId="60" fillId="18" borderId="13" xfId="1" applyNumberFormat="1" applyFont="1" applyFill="1" applyBorder="1"/>
    <xf numFmtId="0" fontId="32" fillId="18" borderId="13" xfId="38" applyFont="1" applyFill="1" applyBorder="1" applyAlignment="1">
      <alignment vertical="center"/>
    </xf>
    <xf numFmtId="173" fontId="61" fillId="18" borderId="13" xfId="1" applyNumberFormat="1" applyFont="1" applyFill="1" applyBorder="1" applyProtection="1">
      <protection locked="0"/>
    </xf>
    <xf numFmtId="0" fontId="33" fillId="18" borderId="13" xfId="38" applyFont="1" applyFill="1" applyBorder="1" applyAlignment="1">
      <alignment horizontal="left"/>
    </xf>
    <xf numFmtId="0" fontId="34" fillId="0" borderId="0" xfId="38" applyFont="1"/>
    <xf numFmtId="0" fontId="35" fillId="0" borderId="0" xfId="38" applyFont="1" applyAlignment="1">
      <alignment vertical="center"/>
    </xf>
    <xf numFmtId="173" fontId="33" fillId="0" borderId="0" xfId="38" applyNumberFormat="1" applyFont="1"/>
    <xf numFmtId="9" fontId="32" fillId="0" borderId="0" xfId="38" applyNumberFormat="1" applyFont="1"/>
    <xf numFmtId="0" fontId="43" fillId="19" borderId="0" xfId="22" applyFont="1" applyFill="1" applyAlignment="1">
      <alignment vertical="center"/>
    </xf>
    <xf numFmtId="0" fontId="54" fillId="0" borderId="0" xfId="22" applyFont="1" applyAlignment="1">
      <alignment vertical="center"/>
    </xf>
    <xf numFmtId="0" fontId="64" fillId="0" borderId="0" xfId="22" applyFont="1" applyAlignment="1">
      <alignment vertical="center"/>
    </xf>
    <xf numFmtId="0" fontId="64" fillId="0" borderId="0" xfId="22" applyFont="1" applyAlignment="1">
      <alignment vertical="top" wrapText="1"/>
    </xf>
    <xf numFmtId="0" fontId="64" fillId="0" borderId="0" xfId="22" applyFont="1" applyAlignment="1">
      <alignment vertical="center" wrapText="1"/>
    </xf>
    <xf numFmtId="0" fontId="54" fillId="0" borderId="0" xfId="22" applyFont="1" applyAlignment="1">
      <alignment vertical="center" wrapText="1"/>
    </xf>
    <xf numFmtId="0" fontId="64" fillId="0" borderId="41" xfId="22" applyFont="1" applyBorder="1" applyAlignment="1">
      <alignment horizontal="center" vertical="center" wrapText="1"/>
    </xf>
    <xf numFmtId="6" fontId="35" fillId="0" borderId="5" xfId="22" applyNumberFormat="1" applyFont="1" applyBorder="1" applyAlignment="1">
      <alignment horizontal="center" vertical="center"/>
    </xf>
    <xf numFmtId="0" fontId="64" fillId="0" borderId="10" xfId="22" applyFont="1" applyBorder="1" applyAlignment="1">
      <alignment vertical="center" wrapText="1"/>
    </xf>
    <xf numFmtId="0" fontId="64" fillId="0" borderId="42" xfId="22" applyFont="1" applyBorder="1" applyAlignment="1">
      <alignment horizontal="center" vertical="center" wrapText="1"/>
    </xf>
    <xf numFmtId="6" fontId="35" fillId="0" borderId="5" xfId="22" applyNumberFormat="1" applyFont="1" applyBorder="1" applyAlignment="1">
      <alignment horizontal="center" vertical="center" wrapText="1"/>
    </xf>
    <xf numFmtId="0" fontId="64" fillId="0" borderId="12" xfId="22" applyFont="1" applyBorder="1" applyAlignment="1">
      <alignment horizontal="center" vertical="center" wrapText="1"/>
    </xf>
    <xf numFmtId="0" fontId="54" fillId="19" borderId="0" xfId="22" applyFont="1" applyFill="1" applyAlignment="1">
      <alignment vertical="center"/>
    </xf>
    <xf numFmtId="0" fontId="64" fillId="0" borderId="0" xfId="22" applyFont="1" applyAlignment="1">
      <alignment horizontal="left" vertical="center"/>
    </xf>
    <xf numFmtId="9" fontId="64" fillId="0" borderId="0" xfId="22" applyNumberFormat="1" applyFont="1" applyAlignment="1">
      <alignment horizontal="left" vertical="center"/>
    </xf>
    <xf numFmtId="0" fontId="66" fillId="0" borderId="16" xfId="22" applyFont="1" applyBorder="1" applyAlignment="1">
      <alignment horizontal="center" vertical="center"/>
    </xf>
    <xf numFmtId="0" fontId="66" fillId="0" borderId="17" xfId="22" applyFont="1" applyBorder="1" applyAlignment="1">
      <alignment horizontal="center" vertical="center"/>
    </xf>
    <xf numFmtId="0" fontId="67" fillId="0" borderId="17" xfId="22" applyFont="1" applyBorder="1" applyAlignment="1">
      <alignment horizontal="center" vertical="center"/>
    </xf>
    <xf numFmtId="0" fontId="67" fillId="0" borderId="43" xfId="22" applyFont="1" applyBorder="1" applyAlignment="1">
      <alignment horizontal="center" vertical="center"/>
    </xf>
    <xf numFmtId="0" fontId="64" fillId="0" borderId="6" xfId="22" applyFont="1" applyBorder="1" applyAlignment="1">
      <alignment vertical="center"/>
    </xf>
    <xf numFmtId="0" fontId="66" fillId="0" borderId="0" xfId="22" applyFont="1" applyAlignment="1">
      <alignment vertical="center"/>
    </xf>
    <xf numFmtId="0" fontId="67" fillId="19" borderId="0" xfId="22" applyFont="1" applyFill="1" applyAlignment="1">
      <alignment vertical="center"/>
    </xf>
    <xf numFmtId="0" fontId="54" fillId="19" borderId="9" xfId="22" applyFont="1" applyFill="1" applyBorder="1" applyAlignment="1">
      <alignment vertical="center"/>
    </xf>
    <xf numFmtId="176" fontId="35" fillId="0" borderId="0" xfId="1" applyNumberFormat="1" applyFont="1" applyFill="1" applyBorder="1" applyAlignment="1">
      <alignment vertical="center"/>
    </xf>
    <xf numFmtId="0" fontId="34" fillId="0" borderId="0" xfId="22" applyFont="1" applyAlignment="1">
      <alignment vertical="center"/>
    </xf>
    <xf numFmtId="0" fontId="32" fillId="19" borderId="0" xfId="22" applyFont="1" applyFill="1" applyAlignment="1">
      <alignment vertical="center"/>
    </xf>
    <xf numFmtId="0" fontId="32" fillId="0" borderId="0" xfId="22" applyFont="1" applyAlignment="1">
      <alignment vertical="center"/>
    </xf>
    <xf numFmtId="176" fontId="43" fillId="19" borderId="0" xfId="1" applyNumberFormat="1" applyFont="1" applyFill="1" applyBorder="1" applyAlignment="1">
      <alignment vertical="center"/>
    </xf>
    <xf numFmtId="174" fontId="65" fillId="0" borderId="0" xfId="36" applyNumberFormat="1" applyFont="1" applyFill="1" applyBorder="1" applyAlignment="1">
      <alignment horizontal="center" vertical="center"/>
    </xf>
    <xf numFmtId="174" fontId="43" fillId="19" borderId="0" xfId="36" applyNumberFormat="1" applyFont="1" applyFill="1" applyBorder="1" applyAlignment="1">
      <alignment horizontal="center" vertical="center"/>
    </xf>
    <xf numFmtId="0" fontId="58" fillId="12" borderId="0" xfId="22" applyFont="1" applyFill="1" applyAlignment="1">
      <alignment vertical="center" wrapText="1"/>
    </xf>
    <xf numFmtId="6" fontId="54" fillId="0" borderId="0" xfId="22" applyNumberFormat="1" applyFont="1" applyAlignment="1">
      <alignment vertical="center"/>
    </xf>
    <xf numFmtId="0" fontId="64" fillId="0" borderId="13" xfId="22" applyFont="1" applyBorder="1" applyAlignment="1">
      <alignment vertical="center" wrapText="1"/>
    </xf>
    <xf numFmtId="0" fontId="58" fillId="12" borderId="13" xfId="22" applyFont="1" applyFill="1" applyBorder="1" applyAlignment="1">
      <alignment vertical="center" wrapText="1"/>
    </xf>
    <xf numFmtId="6" fontId="21" fillId="0" borderId="0" xfId="22" applyNumberFormat="1" applyFont="1" applyAlignment="1">
      <alignment horizontal="center" vertical="center"/>
    </xf>
    <xf numFmtId="6" fontId="70" fillId="0" borderId="13" xfId="22" applyNumberFormat="1" applyFont="1" applyBorder="1" applyAlignment="1">
      <alignment horizontal="center" vertical="center"/>
    </xf>
    <xf numFmtId="0" fontId="54" fillId="19" borderId="6" xfId="22" applyFont="1" applyFill="1" applyBorder="1" applyAlignment="1">
      <alignment vertical="center"/>
    </xf>
    <xf numFmtId="6" fontId="22" fillId="18" borderId="0" xfId="22" applyNumberFormat="1" applyFill="1" applyAlignment="1">
      <alignment horizontal="center" vertical="center"/>
    </xf>
    <xf numFmtId="6" fontId="71" fillId="18" borderId="13" xfId="22" applyNumberFormat="1" applyFont="1" applyFill="1" applyBorder="1" applyAlignment="1">
      <alignment horizontal="center" vertical="center"/>
    </xf>
    <xf numFmtId="0" fontId="54" fillId="19" borderId="12" xfId="22" applyFont="1" applyFill="1" applyBorder="1" applyAlignment="1">
      <alignment vertical="center"/>
    </xf>
    <xf numFmtId="0" fontId="54" fillId="19" borderId="13" xfId="22" applyFont="1" applyFill="1" applyBorder="1" applyAlignment="1">
      <alignment vertical="center"/>
    </xf>
    <xf numFmtId="0" fontId="54" fillId="0" borderId="13" xfId="22" applyFont="1" applyBorder="1" applyAlignment="1">
      <alignment vertical="center"/>
    </xf>
    <xf numFmtId="0" fontId="54" fillId="19" borderId="14" xfId="22" applyFont="1" applyFill="1" applyBorder="1" applyAlignment="1">
      <alignment vertical="center"/>
    </xf>
    <xf numFmtId="0" fontId="28" fillId="0" borderId="0" xfId="39" applyFont="1" applyAlignment="1">
      <alignment horizontal="center" vertical="center"/>
    </xf>
    <xf numFmtId="0" fontId="28" fillId="0" borderId="0" xfId="39" applyFont="1" applyAlignment="1">
      <alignment horizontal="center" vertical="center" wrapText="1"/>
    </xf>
    <xf numFmtId="174" fontId="28" fillId="0" borderId="0" xfId="39" applyNumberFormat="1" applyFont="1" applyAlignment="1">
      <alignment horizontal="center" vertical="center" wrapText="1"/>
    </xf>
    <xf numFmtId="0" fontId="2" fillId="0" borderId="0" xfId="39"/>
    <xf numFmtId="0" fontId="29" fillId="0" borderId="0" xfId="39" applyFont="1"/>
    <xf numFmtId="176" fontId="21" fillId="0" borderId="0" xfId="40" applyNumberFormat="1" applyFont="1" applyFill="1"/>
    <xf numFmtId="165" fontId="41" fillId="0" borderId="0" xfId="40" applyFont="1" applyFill="1"/>
    <xf numFmtId="165" fontId="21" fillId="0" borderId="0" xfId="40" applyFont="1" applyFill="1"/>
    <xf numFmtId="174" fontId="73" fillId="0" borderId="0" xfId="41" applyNumberFormat="1" applyFont="1" applyFill="1"/>
    <xf numFmtId="165" fontId="0" fillId="0" borderId="0" xfId="40" applyFont="1" applyFill="1"/>
    <xf numFmtId="44" fontId="29" fillId="0" borderId="0" xfId="39" applyNumberFormat="1" applyFont="1"/>
    <xf numFmtId="174" fontId="2" fillId="0" borderId="0" xfId="39" applyNumberFormat="1"/>
    <xf numFmtId="165" fontId="0" fillId="0" borderId="0" xfId="40" applyFont="1"/>
    <xf numFmtId="0" fontId="23" fillId="0" borderId="2" xfId="2" applyFont="1" applyAlignment="1" applyProtection="1">
      <alignment horizontal="left" wrapText="1"/>
      <protection locked="0"/>
    </xf>
    <xf numFmtId="0" fontId="23" fillId="0" borderId="2" xfId="2" applyFont="1" applyAlignment="1">
      <alignment horizontal="left" wrapText="1"/>
    </xf>
    <xf numFmtId="0" fontId="52" fillId="12" borderId="4" xfId="0" applyFont="1" applyFill="1" applyBorder="1" applyAlignment="1">
      <alignment horizontal="center" vertical="center"/>
    </xf>
    <xf numFmtId="0" fontId="52" fillId="12" borderId="5" xfId="0" applyFont="1" applyFill="1" applyBorder="1" applyAlignment="1">
      <alignment horizontal="center" vertical="center"/>
    </xf>
    <xf numFmtId="0" fontId="52" fillId="12" borderId="1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left" vertical="top" wrapText="1"/>
    </xf>
    <xf numFmtId="0" fontId="0" fillId="9" borderId="28" xfId="0" applyFill="1" applyBorder="1" applyAlignment="1">
      <alignment horizontal="left" vertical="top" wrapText="1"/>
    </xf>
    <xf numFmtId="0" fontId="0" fillId="9" borderId="1" xfId="0" applyFill="1" applyBorder="1" applyAlignment="1">
      <alignment horizontal="left" vertical="top" wrapText="1"/>
    </xf>
    <xf numFmtId="0" fontId="0" fillId="9" borderId="29" xfId="0" applyFill="1" applyBorder="1" applyAlignment="1">
      <alignment horizontal="left" vertical="top" wrapText="1"/>
    </xf>
    <xf numFmtId="0" fontId="52" fillId="7" borderId="4" xfId="0" applyFont="1" applyFill="1" applyBorder="1" applyAlignment="1">
      <alignment horizontal="center" vertical="center"/>
    </xf>
    <xf numFmtId="0" fontId="52" fillId="7" borderId="5" xfId="0" applyFont="1" applyFill="1" applyBorder="1" applyAlignment="1">
      <alignment horizontal="center" vertical="center"/>
    </xf>
    <xf numFmtId="0" fontId="52" fillId="7" borderId="10" xfId="0" applyFont="1" applyFill="1" applyBorder="1" applyAlignment="1">
      <alignment horizontal="center" vertical="center"/>
    </xf>
    <xf numFmtId="0" fontId="22" fillId="16" borderId="25" xfId="0" applyFont="1" applyFill="1" applyBorder="1" applyAlignment="1">
      <alignment horizontal="left" vertical="top" wrapText="1"/>
    </xf>
    <xf numFmtId="0" fontId="0" fillId="16" borderId="25" xfId="0" applyFill="1" applyBorder="1" applyAlignment="1">
      <alignment horizontal="left" vertical="top" wrapText="1"/>
    </xf>
    <xf numFmtId="0" fontId="0" fillId="16" borderId="28" xfId="0" applyFill="1" applyBorder="1" applyAlignment="1">
      <alignment horizontal="left" vertical="top" wrapText="1"/>
    </xf>
    <xf numFmtId="0" fontId="0" fillId="16" borderId="0" xfId="0" applyFill="1" applyAlignment="1">
      <alignment horizontal="left" vertical="top" wrapText="1"/>
    </xf>
    <xf numFmtId="0" fontId="0" fillId="16" borderId="9" xfId="0" applyFill="1" applyBorder="1" applyAlignment="1">
      <alignment horizontal="left" vertical="top" wrapText="1"/>
    </xf>
    <xf numFmtId="0" fontId="0" fillId="16" borderId="1" xfId="0" applyFill="1" applyBorder="1" applyAlignment="1">
      <alignment horizontal="left" vertical="top" wrapText="1"/>
    </xf>
    <xf numFmtId="0" fontId="0" fillId="16" borderId="29" xfId="0" applyFill="1" applyBorder="1" applyAlignment="1">
      <alignment horizontal="left" vertical="top" wrapText="1"/>
    </xf>
    <xf numFmtId="0" fontId="44" fillId="17" borderId="7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/>
    </xf>
    <xf numFmtId="0" fontId="27" fillId="10" borderId="13" xfId="0" applyFont="1" applyFill="1" applyBorder="1" applyAlignment="1">
      <alignment horizontal="center" vertical="center"/>
    </xf>
    <xf numFmtId="0" fontId="27" fillId="10" borderId="14" xfId="0" applyFont="1" applyFill="1" applyBorder="1" applyAlignment="1">
      <alignment horizontal="center" vertical="center"/>
    </xf>
    <xf numFmtId="0" fontId="44" fillId="11" borderId="16" xfId="0" applyFont="1" applyFill="1" applyBorder="1" applyAlignment="1">
      <alignment horizontal="center" vertical="center"/>
    </xf>
    <xf numFmtId="0" fontId="44" fillId="11" borderId="6" xfId="0" applyFont="1" applyFill="1" applyBorder="1" applyAlignment="1">
      <alignment horizontal="center" vertical="center"/>
    </xf>
    <xf numFmtId="0" fontId="44" fillId="11" borderId="17" xfId="0" applyFont="1" applyFill="1" applyBorder="1" applyAlignment="1">
      <alignment horizontal="center" vertical="center"/>
    </xf>
    <xf numFmtId="0" fontId="44" fillId="11" borderId="0" xfId="0" applyFont="1" applyFill="1" applyAlignment="1">
      <alignment horizontal="center" vertical="center"/>
    </xf>
    <xf numFmtId="170" fontId="44" fillId="11" borderId="17" xfId="1" applyNumberFormat="1" applyFont="1" applyFill="1" applyBorder="1" applyAlignment="1">
      <alignment horizontal="center" vertical="center" wrapText="1"/>
    </xf>
    <xf numFmtId="170" fontId="44" fillId="11" borderId="0" xfId="1" applyNumberFormat="1" applyFont="1" applyFill="1" applyBorder="1" applyAlignment="1">
      <alignment horizontal="center" vertical="center" wrapText="1"/>
    </xf>
    <xf numFmtId="170" fontId="44" fillId="11" borderId="17" xfId="1" applyNumberFormat="1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21" borderId="4" xfId="22" applyFont="1" applyFill="1" applyBorder="1" applyAlignment="1">
      <alignment horizontal="center" vertical="center"/>
    </xf>
    <xf numFmtId="0" fontId="27" fillId="21" borderId="5" xfId="22" applyFont="1" applyFill="1" applyBorder="1" applyAlignment="1">
      <alignment horizontal="center" vertical="center"/>
    </xf>
    <xf numFmtId="0" fontId="27" fillId="21" borderId="10" xfId="22" applyFont="1" applyFill="1" applyBorder="1" applyAlignment="1">
      <alignment horizontal="center" vertical="center"/>
    </xf>
    <xf numFmtId="0" fontId="22" fillId="23" borderId="0" xfId="22" applyFill="1" applyAlignment="1">
      <alignment horizontal="center" vertical="top" wrapText="1"/>
    </xf>
    <xf numFmtId="0" fontId="22" fillId="23" borderId="9" xfId="22" applyFill="1" applyBorder="1" applyAlignment="1">
      <alignment horizontal="center" vertical="top" wrapText="1"/>
    </xf>
    <xf numFmtId="0" fontId="32" fillId="0" borderId="0" xfId="38" applyFont="1" applyAlignment="1">
      <alignment horizontal="center"/>
    </xf>
    <xf numFmtId="0" fontId="33" fillId="19" borderId="0" xfId="38" applyFont="1" applyFill="1" applyAlignment="1">
      <alignment horizontal="right"/>
    </xf>
    <xf numFmtId="9" fontId="33" fillId="0" borderId="0" xfId="36" applyFont="1" applyAlignment="1">
      <alignment horizontal="left" vertical="center"/>
    </xf>
    <xf numFmtId="0" fontId="32" fillId="19" borderId="0" xfId="38" applyFont="1" applyFill="1" applyAlignment="1">
      <alignment horizontal="center"/>
    </xf>
    <xf numFmtId="9" fontId="33" fillId="16" borderId="17" xfId="38" applyNumberFormat="1" applyFont="1" applyFill="1" applyBorder="1" applyAlignment="1">
      <alignment horizontal="center" vertical="center"/>
    </xf>
    <xf numFmtId="9" fontId="33" fillId="16" borderId="0" xfId="38" applyNumberFormat="1" applyFont="1" applyFill="1" applyAlignment="1">
      <alignment horizontal="center" vertical="center"/>
    </xf>
    <xf numFmtId="0" fontId="33" fillId="0" borderId="0" xfId="38" applyFont="1" applyAlignment="1">
      <alignment horizontal="center" vertical="center"/>
    </xf>
    <xf numFmtId="0" fontId="64" fillId="0" borderId="37" xfId="22" applyFont="1" applyBorder="1" applyAlignment="1">
      <alignment horizontal="left" vertical="center" wrapText="1"/>
    </xf>
    <xf numFmtId="0" fontId="64" fillId="0" borderId="0" xfId="22" applyFont="1" applyAlignment="1">
      <alignment horizontal="left" vertical="center" wrapText="1"/>
    </xf>
    <xf numFmtId="0" fontId="64" fillId="0" borderId="38" xfId="22" applyFont="1" applyBorder="1" applyAlignment="1">
      <alignment horizontal="left" vertical="center" wrapText="1"/>
    </xf>
    <xf numFmtId="0" fontId="64" fillId="0" borderId="39" xfId="22" applyFont="1" applyBorder="1" applyAlignment="1">
      <alignment horizontal="left" vertical="center" wrapText="1"/>
    </xf>
    <xf numFmtId="0" fontId="64" fillId="0" borderId="1" xfId="22" applyFont="1" applyBorder="1" applyAlignment="1">
      <alignment horizontal="left" vertical="center" wrapText="1"/>
    </xf>
    <xf numFmtId="0" fontId="64" fillId="0" borderId="40" xfId="22" applyFont="1" applyBorder="1" applyAlignment="1">
      <alignment horizontal="left" vertical="center" wrapText="1"/>
    </xf>
    <xf numFmtId="0" fontId="65" fillId="0" borderId="35" xfId="22" applyFont="1" applyBorder="1" applyAlignment="1">
      <alignment horizontal="left" vertical="center" wrapText="1"/>
    </xf>
    <xf numFmtId="0" fontId="65" fillId="0" borderId="25" xfId="22" applyFont="1" applyBorder="1" applyAlignment="1">
      <alignment horizontal="left" vertical="center" wrapText="1"/>
    </xf>
    <xf numFmtId="0" fontId="65" fillId="0" borderId="36" xfId="22" applyFont="1" applyBorder="1" applyAlignment="1">
      <alignment horizontal="left" vertical="center" wrapText="1"/>
    </xf>
    <xf numFmtId="0" fontId="62" fillId="19" borderId="0" xfId="22" applyFont="1" applyFill="1" applyAlignment="1">
      <alignment horizontal="left" vertical="center"/>
    </xf>
    <xf numFmtId="0" fontId="63" fillId="0" borderId="1" xfId="22" applyFont="1" applyBorder="1" applyAlignment="1">
      <alignment horizontal="left" vertical="center"/>
    </xf>
    <xf numFmtId="0" fontId="64" fillId="0" borderId="35" xfId="22" applyFont="1" applyBorder="1" applyAlignment="1">
      <alignment horizontal="left" vertical="top" wrapText="1"/>
    </xf>
    <xf numFmtId="0" fontId="64" fillId="0" borderId="25" xfId="22" applyFont="1" applyBorder="1" applyAlignment="1">
      <alignment horizontal="left" vertical="top" wrapText="1"/>
    </xf>
    <xf numFmtId="0" fontId="64" fillId="0" borderId="36" xfId="22" applyFont="1" applyBorder="1" applyAlignment="1">
      <alignment horizontal="left" vertical="top" wrapText="1"/>
    </xf>
    <xf numFmtId="0" fontId="64" fillId="0" borderId="37" xfId="22" applyFont="1" applyBorder="1" applyAlignment="1">
      <alignment horizontal="left" vertical="top" wrapText="1"/>
    </xf>
    <xf numFmtId="0" fontId="64" fillId="0" borderId="0" xfId="22" applyFont="1" applyAlignment="1">
      <alignment horizontal="left" vertical="top" wrapText="1"/>
    </xf>
    <xf numFmtId="0" fontId="64" fillId="0" borderId="38" xfId="22" applyFont="1" applyBorder="1" applyAlignment="1">
      <alignment horizontal="left" vertical="top" wrapText="1"/>
    </xf>
    <xf numFmtId="0" fontId="64" fillId="0" borderId="39" xfId="22" applyFont="1" applyBorder="1" applyAlignment="1">
      <alignment horizontal="left" vertical="top" wrapText="1"/>
    </xf>
    <xf numFmtId="0" fontId="64" fillId="0" borderId="1" xfId="22" applyFont="1" applyBorder="1" applyAlignment="1">
      <alignment horizontal="left" vertical="top" wrapText="1"/>
    </xf>
    <xf numFmtId="0" fontId="64" fillId="0" borderId="40" xfId="22" applyFont="1" applyBorder="1" applyAlignment="1">
      <alignment horizontal="left" vertical="top" wrapText="1"/>
    </xf>
    <xf numFmtId="6" fontId="71" fillId="18" borderId="12" xfId="22" applyNumberFormat="1" applyFont="1" applyFill="1" applyBorder="1" applyAlignment="1">
      <alignment horizontal="center" vertical="center"/>
    </xf>
    <xf numFmtId="6" fontId="71" fillId="18" borderId="13" xfId="22" applyNumberFormat="1" applyFont="1" applyFill="1" applyBorder="1" applyAlignment="1">
      <alignment horizontal="center" vertical="center"/>
    </xf>
    <xf numFmtId="6" fontId="71" fillId="18" borderId="14" xfId="22" applyNumberFormat="1" applyFont="1" applyFill="1" applyBorder="1" applyAlignment="1">
      <alignment horizontal="center" vertical="center"/>
    </xf>
    <xf numFmtId="0" fontId="22" fillId="19" borderId="0" xfId="22" applyFill="1" applyAlignment="1">
      <alignment horizontal="left" vertical="top" wrapText="1"/>
    </xf>
    <xf numFmtId="0" fontId="2" fillId="19" borderId="0" xfId="22" applyFont="1" applyFill="1" applyAlignment="1">
      <alignment horizontal="left" vertical="top" wrapText="1"/>
    </xf>
    <xf numFmtId="6" fontId="70" fillId="0" borderId="12" xfId="22" applyNumberFormat="1" applyFont="1" applyBorder="1" applyAlignment="1">
      <alignment horizontal="center" vertical="center"/>
    </xf>
    <xf numFmtId="6" fontId="70" fillId="0" borderId="13" xfId="22" applyNumberFormat="1" applyFont="1" applyBorder="1" applyAlignment="1">
      <alignment horizontal="center" vertical="center"/>
    </xf>
    <xf numFmtId="0" fontId="43" fillId="19" borderId="16" xfId="22" applyFont="1" applyFill="1" applyBorder="1" applyAlignment="1">
      <alignment horizontal="left" vertical="center"/>
    </xf>
    <xf numFmtId="0" fontId="43" fillId="19" borderId="17" xfId="22" applyFont="1" applyFill="1" applyBorder="1" applyAlignment="1">
      <alignment horizontal="left" vertical="center"/>
    </xf>
    <xf numFmtId="0" fontId="43" fillId="19" borderId="43" xfId="22" applyFont="1" applyFill="1" applyBorder="1" applyAlignment="1">
      <alignment horizontal="left" vertical="center"/>
    </xf>
    <xf numFmtId="6" fontId="62" fillId="18" borderId="6" xfId="22" applyNumberFormat="1" applyFont="1" applyFill="1" applyBorder="1" applyAlignment="1">
      <alignment horizontal="center" vertical="center"/>
    </xf>
    <xf numFmtId="6" fontId="62" fillId="18" borderId="0" xfId="22" applyNumberFormat="1" applyFont="1" applyFill="1" applyAlignment="1">
      <alignment horizontal="center" vertical="center"/>
    </xf>
    <xf numFmtId="6" fontId="62" fillId="18" borderId="9" xfId="22" applyNumberFormat="1" applyFont="1" applyFill="1" applyBorder="1" applyAlignment="1">
      <alignment horizontal="center" vertical="center"/>
    </xf>
    <xf numFmtId="6" fontId="22" fillId="18" borderId="6" xfId="22" applyNumberFormat="1" applyFill="1" applyBorder="1" applyAlignment="1">
      <alignment horizontal="center" vertical="center"/>
    </xf>
    <xf numFmtId="6" fontId="22" fillId="18" borderId="0" xfId="22" applyNumberFormat="1" applyFill="1" applyAlignment="1">
      <alignment horizontal="center" vertical="center"/>
    </xf>
    <xf numFmtId="6" fontId="22" fillId="18" borderId="9" xfId="22" applyNumberFormat="1" applyFill="1" applyBorder="1" applyAlignment="1">
      <alignment horizontal="center" vertical="center"/>
    </xf>
    <xf numFmtId="6" fontId="63" fillId="0" borderId="12" xfId="22" applyNumberFormat="1" applyFont="1" applyBorder="1" applyAlignment="1">
      <alignment horizontal="center" vertical="center"/>
    </xf>
    <xf numFmtId="6" fontId="63" fillId="0" borderId="13" xfId="22" applyNumberFormat="1" applyFont="1" applyBorder="1" applyAlignment="1">
      <alignment horizontal="center" vertical="center"/>
    </xf>
    <xf numFmtId="6" fontId="62" fillId="18" borderId="14" xfId="22" applyNumberFormat="1" applyFont="1" applyFill="1" applyBorder="1" applyAlignment="1">
      <alignment horizontal="center" vertical="center"/>
    </xf>
    <xf numFmtId="0" fontId="65" fillId="0" borderId="16" xfId="22" applyFont="1" applyBorder="1" applyAlignment="1">
      <alignment horizontal="left" vertical="center"/>
    </xf>
    <xf numFmtId="0" fontId="65" fillId="0" borderId="17" xfId="22" applyFont="1" applyBorder="1" applyAlignment="1">
      <alignment horizontal="left" vertical="center"/>
    </xf>
    <xf numFmtId="6" fontId="63" fillId="0" borderId="6" xfId="22" applyNumberFormat="1" applyFont="1" applyBorder="1" applyAlignment="1">
      <alignment horizontal="center" vertical="center"/>
    </xf>
    <xf numFmtId="6" fontId="63" fillId="0" borderId="0" xfId="22" applyNumberFormat="1" applyFont="1" applyAlignment="1">
      <alignment horizontal="center" vertical="center"/>
    </xf>
    <xf numFmtId="6" fontId="21" fillId="0" borderId="6" xfId="22" applyNumberFormat="1" applyFont="1" applyBorder="1" applyAlignment="1">
      <alignment horizontal="center" vertical="center"/>
    </xf>
    <xf numFmtId="6" fontId="21" fillId="0" borderId="0" xfId="22" applyNumberFormat="1" applyFont="1" applyAlignment="1">
      <alignment horizontal="center" vertical="center"/>
    </xf>
    <xf numFmtId="10" fontId="43" fillId="19" borderId="6" xfId="22" applyNumberFormat="1" applyFont="1" applyFill="1" applyBorder="1" applyAlignment="1">
      <alignment horizontal="center" vertical="center"/>
    </xf>
    <xf numFmtId="10" fontId="43" fillId="19" borderId="0" xfId="22" applyNumberFormat="1" applyFont="1" applyFill="1" applyAlignment="1">
      <alignment horizontal="center" vertical="center"/>
    </xf>
    <xf numFmtId="0" fontId="35" fillId="0" borderId="4" xfId="22" applyFont="1" applyBorder="1" applyAlignment="1">
      <alignment horizontal="left" vertical="center"/>
    </xf>
    <xf numFmtId="0" fontId="35" fillId="0" borderId="5" xfId="22" applyFont="1" applyBorder="1" applyAlignment="1">
      <alignment horizontal="left" vertical="center"/>
    </xf>
    <xf numFmtId="0" fontId="35" fillId="0" borderId="10" xfId="22" applyFont="1" applyBorder="1" applyAlignment="1">
      <alignment horizontal="left" vertical="center"/>
    </xf>
    <xf numFmtId="0" fontId="64" fillId="0" borderId="0" xfId="22" applyFont="1" applyAlignment="1">
      <alignment horizontal="center" vertical="center" wrapText="1"/>
    </xf>
    <xf numFmtId="0" fontId="64" fillId="0" borderId="13" xfId="22" applyFont="1" applyBorder="1" applyAlignment="1">
      <alignment horizontal="center" vertical="center" wrapText="1"/>
    </xf>
    <xf numFmtId="0" fontId="33" fillId="19" borderId="4" xfId="22" applyFont="1" applyFill="1" applyBorder="1" applyAlignment="1">
      <alignment horizontal="center" vertical="center"/>
    </xf>
    <xf numFmtId="0" fontId="33" fillId="19" borderId="5" xfId="22" applyFont="1" applyFill="1" applyBorder="1" applyAlignment="1">
      <alignment horizontal="center" vertical="center"/>
    </xf>
    <xf numFmtId="0" fontId="33" fillId="19" borderId="10" xfId="22" applyFont="1" applyFill="1" applyBorder="1" applyAlignment="1">
      <alignment horizontal="center" vertical="center"/>
    </xf>
    <xf numFmtId="176" fontId="35" fillId="0" borderId="0" xfId="1" applyNumberFormat="1" applyFont="1" applyFill="1" applyBorder="1" applyAlignment="1">
      <alignment horizontal="center" vertical="center"/>
    </xf>
    <xf numFmtId="176" fontId="33" fillId="19" borderId="0" xfId="1" applyNumberFormat="1" applyFont="1" applyFill="1" applyBorder="1" applyAlignment="1">
      <alignment horizontal="center" vertical="center"/>
    </xf>
    <xf numFmtId="174" fontId="65" fillId="0" borderId="0" xfId="36" applyNumberFormat="1" applyFont="1" applyFill="1" applyBorder="1" applyAlignment="1">
      <alignment horizontal="center" vertical="center"/>
    </xf>
    <xf numFmtId="174" fontId="43" fillId="19" borderId="0" xfId="36" applyNumberFormat="1" applyFont="1" applyFill="1" applyBorder="1" applyAlignment="1">
      <alignment horizontal="center" vertical="center"/>
    </xf>
    <xf numFmtId="0" fontId="63" fillId="0" borderId="0" xfId="22" applyFont="1" applyAlignment="1">
      <alignment horizontal="center" vertical="center"/>
    </xf>
    <xf numFmtId="0" fontId="69" fillId="12" borderId="0" xfId="22" applyFont="1" applyFill="1" applyAlignment="1">
      <alignment horizontal="center" vertical="center"/>
    </xf>
    <xf numFmtId="0" fontId="64" fillId="0" borderId="0" xfId="22" applyFont="1" applyAlignment="1">
      <alignment horizontal="left" vertical="center"/>
    </xf>
    <xf numFmtId="0" fontId="66" fillId="0" borderId="4" xfId="22" applyFont="1" applyBorder="1" applyAlignment="1">
      <alignment horizontal="center" vertical="center"/>
    </xf>
    <xf numFmtId="0" fontId="66" fillId="0" borderId="5" xfId="22" applyFont="1" applyBorder="1" applyAlignment="1">
      <alignment horizontal="center" vertical="center"/>
    </xf>
    <xf numFmtId="0" fontId="67" fillId="0" borderId="5" xfId="22" applyFont="1" applyBorder="1" applyAlignment="1">
      <alignment horizontal="center" vertical="center"/>
    </xf>
    <xf numFmtId="0" fontId="67" fillId="0" borderId="10" xfId="22" applyFont="1" applyBorder="1" applyAlignment="1">
      <alignment horizontal="center" vertical="center"/>
    </xf>
    <xf numFmtId="0" fontId="68" fillId="0" borderId="0" xfId="22" applyFont="1" applyAlignment="1">
      <alignment horizontal="center" vertical="center"/>
    </xf>
    <xf numFmtId="0" fontId="35" fillId="0" borderId="0" xfId="22" applyFont="1" applyAlignment="1">
      <alignment horizontal="center" vertical="center"/>
    </xf>
    <xf numFmtId="0" fontId="33" fillId="19" borderId="0" xfId="22" applyFont="1" applyFill="1" applyAlignment="1">
      <alignment horizontal="center" vertical="center"/>
    </xf>
    <xf numFmtId="0" fontId="44" fillId="19" borderId="0" xfId="22" applyFont="1" applyFill="1" applyAlignment="1">
      <alignment horizontal="center" vertical="center"/>
    </xf>
    <xf numFmtId="0" fontId="43" fillId="19" borderId="0" xfId="22" applyFont="1" applyFill="1" applyAlignment="1">
      <alignment horizontal="left" vertical="center"/>
    </xf>
    <xf numFmtId="0" fontId="59" fillId="9" borderId="0" xfId="30" applyFont="1" applyFill="1" applyAlignment="1" applyProtection="1">
      <alignment horizontal="center"/>
      <protection hidden="1"/>
    </xf>
    <xf numFmtId="0" fontId="43" fillId="19" borderId="25" xfId="30" applyFont="1" applyFill="1" applyBorder="1" applyAlignment="1" applyProtection="1">
      <alignment horizontal="center" vertical="center"/>
      <protection hidden="1"/>
    </xf>
    <xf numFmtId="0" fontId="43" fillId="19" borderId="0" xfId="30" applyFont="1" applyFill="1" applyAlignment="1" applyProtection="1">
      <alignment horizontal="center" vertical="center"/>
      <protection hidden="1"/>
    </xf>
    <xf numFmtId="0" fontId="43" fillId="19" borderId="1" xfId="30" applyFont="1" applyFill="1" applyBorder="1" applyAlignment="1" applyProtection="1">
      <alignment horizontal="center" vertical="center"/>
      <protection hidden="1"/>
    </xf>
    <xf numFmtId="0" fontId="27" fillId="26" borderId="0" xfId="24" applyFont="1" applyFill="1" applyAlignment="1" applyProtection="1">
      <alignment horizontal="center" vertical="center" wrapText="1"/>
      <protection hidden="1"/>
    </xf>
    <xf numFmtId="17" fontId="7" fillId="28" borderId="0" xfId="24" applyNumberFormat="1" applyFill="1" applyAlignment="1" applyProtection="1">
      <alignment horizontal="center"/>
      <protection locked="0"/>
    </xf>
    <xf numFmtId="0" fontId="53" fillId="26" borderId="0" xfId="24" applyFont="1" applyFill="1" applyAlignment="1" applyProtection="1">
      <alignment horizontal="center"/>
      <protection hidden="1"/>
    </xf>
    <xf numFmtId="0" fontId="38" fillId="13" borderId="33" xfId="4" applyFont="1" applyFill="1" applyBorder="1" applyAlignment="1" applyProtection="1">
      <alignment horizontal="center" wrapText="1"/>
      <protection locked="0"/>
    </xf>
    <xf numFmtId="0" fontId="38" fillId="13" borderId="19" xfId="4" applyFont="1" applyFill="1" applyBorder="1" applyAlignment="1" applyProtection="1">
      <alignment horizontal="center" wrapText="1"/>
      <protection locked="0"/>
    </xf>
    <xf numFmtId="0" fontId="74" fillId="14" borderId="21" xfId="4" applyFont="1" applyFill="1" applyBorder="1" applyAlignment="1" applyProtection="1">
      <alignment vertical="center" wrapText="1"/>
      <protection locked="0"/>
    </xf>
    <xf numFmtId="0" fontId="25" fillId="14" borderId="44" xfId="4" applyFont="1" applyFill="1" applyBorder="1" applyAlignment="1" applyProtection="1">
      <alignment horizontal="left" vertical="top" wrapText="1"/>
      <protection locked="0"/>
    </xf>
    <xf numFmtId="0" fontId="25" fillId="14" borderId="34" xfId="4" applyFont="1" applyFill="1" applyBorder="1" applyAlignment="1" applyProtection="1">
      <alignment horizontal="left" vertical="top" wrapText="1"/>
      <protection locked="0"/>
    </xf>
    <xf numFmtId="0" fontId="26" fillId="14" borderId="0" xfId="4" applyFont="1" applyFill="1" applyBorder="1" applyAlignment="1" applyProtection="1">
      <alignment vertical="center" wrapText="1"/>
      <protection locked="0"/>
    </xf>
  </cellXfs>
  <cellStyles count="42">
    <cellStyle name="Accentuation 1" xfId="3" builtinId="12" customBuiltin="1"/>
    <cellStyle name="Accentuation 2" xfId="4" builtinId="13" customBuiltin="1"/>
    <cellStyle name="Milliers" xfId="11" builtinId="3"/>
    <cellStyle name="Milliers 2" xfId="10" xr:uid="{C62ACECE-CE7E-4D6E-B8E9-6258BD0E7795}"/>
    <cellStyle name="Milliers 3" xfId="20" xr:uid="{FCC84FFE-F6B7-4729-A681-8635673F0A5F}"/>
    <cellStyle name="Milliers 4" xfId="23" xr:uid="{1400E9D0-EB90-4948-B37E-2ED4C2DB5F97}"/>
    <cellStyle name="Monétaire" xfId="1" builtinId="4"/>
    <cellStyle name="Monétaire 2" xfId="7" xr:uid="{35F17C1F-2598-4438-85F4-A660007567F5}"/>
    <cellStyle name="Monétaire 3" xfId="9" xr:uid="{3087D960-A82B-4433-A802-1EDFE5FC780D}"/>
    <cellStyle name="Monétaire 4" xfId="13" xr:uid="{25FBABF5-0AD3-4F7C-B209-99AA58DEF337}"/>
    <cellStyle name="Monétaire 5" xfId="17" xr:uid="{B8EB67B7-BF1C-4A71-9221-2251E35E6040}"/>
    <cellStyle name="Monétaire 6" xfId="25" xr:uid="{9BE027C8-3A78-4A7C-BD55-6C522ECD3DF0}"/>
    <cellStyle name="Monétaire 6 2" xfId="40" xr:uid="{8B0EC9B7-F8A3-43CD-8BF2-EBF07E56BD81}"/>
    <cellStyle name="Monétaire 7" xfId="27" xr:uid="{2CE91DD6-2AC9-436F-9FEB-1983F37E0D46}"/>
    <cellStyle name="Monétaire 8" xfId="29" xr:uid="{A0E09A53-0377-4E13-80C7-38D7401EE0E9}"/>
    <cellStyle name="Monétaire 9" xfId="33" xr:uid="{7A3A6016-55E9-46BC-AFB2-2766F31782A6}"/>
    <cellStyle name="Normal" xfId="0" builtinId="0" customBuiltin="1"/>
    <cellStyle name="Normal 10" xfId="30" xr:uid="{5B76B172-E24E-49F9-B3EC-F2E1D7F9313D}"/>
    <cellStyle name="Normal 11" xfId="32" xr:uid="{324E9289-6122-48FD-9B65-9A9F1A98EFA2}"/>
    <cellStyle name="Normal 2" xfId="5" xr:uid="{00000000-0005-0000-0000-000004000000}"/>
    <cellStyle name="Normal 2 2" xfId="21" xr:uid="{1EE5A1EA-CEE3-4621-996B-C5C78E39A60E}"/>
    <cellStyle name="Normal 3" xfId="6" xr:uid="{DDA60435-C087-4BEA-BD4D-CE08B8474772}"/>
    <cellStyle name="Normal 4" xfId="8" xr:uid="{3FEA90E2-88E4-4D4B-8B34-C93A36337A7B}"/>
    <cellStyle name="Normal 5" xfId="12" xr:uid="{150DA12E-0951-467A-882F-A22C7A216175}"/>
    <cellStyle name="Normal 5 2" xfId="35" xr:uid="{337E8086-4623-4E1A-9A31-F176AAFC8C54}"/>
    <cellStyle name="Normal 5 2 2" xfId="37" xr:uid="{C1D1DC34-AC3A-4389-B632-368645820C46}"/>
    <cellStyle name="Normal 5 2 2 2" xfId="38" xr:uid="{0FBB0AD8-3A95-446D-A8CA-4843E89A4C02}"/>
    <cellStyle name="Normal 6" xfId="16" xr:uid="{905FBF78-5E91-4BF8-B168-4C4EE1931840}"/>
    <cellStyle name="Normal 7" xfId="22" xr:uid="{8923B68C-A82C-4A77-A438-CCB75A8662E6}"/>
    <cellStyle name="Normal 7 2" xfId="39" xr:uid="{6C8755D0-F482-45D1-A50A-F5316D56F11D}"/>
    <cellStyle name="Normal 8" xfId="24" xr:uid="{B9596185-31A5-45BF-9F68-F1F016F48F9C}"/>
    <cellStyle name="Normal 9" xfId="28" xr:uid="{51BCB086-6479-4B62-84D7-C5B9B768736D}"/>
    <cellStyle name="Percent 2" xfId="18" xr:uid="{DD60B237-A1E5-4E61-A786-A0045A5BAF3B}"/>
    <cellStyle name="Pourcentage" xfId="15" builtinId="5"/>
    <cellStyle name="Pourcentage 2" xfId="14" xr:uid="{EDF3A2C2-BE99-4FD3-8C9B-5E8849446471}"/>
    <cellStyle name="Pourcentage 3" xfId="19" xr:uid="{2DAACAAA-E430-4F82-B41B-1639072341E7}"/>
    <cellStyle name="Pourcentage 4" xfId="26" xr:uid="{A1C97AAF-5E85-4665-AA26-75493E676CB7}"/>
    <cellStyle name="Pourcentage 4 2" xfId="36" xr:uid="{9B38C2C7-5737-4C80-B373-7B5E5DF8A8C0}"/>
    <cellStyle name="Pourcentage 4 2 2" xfId="41" xr:uid="{4778F7CB-6D05-4635-895B-6E7BAE44FF38}"/>
    <cellStyle name="Pourcentage 5" xfId="31" xr:uid="{7EB9DC8C-D45F-49D9-9DF4-D09CC511A1BE}"/>
    <cellStyle name="Pourcentage 6" xfId="34" xr:uid="{EF8D840F-5726-4E86-9592-4B1FB31E791D}"/>
    <cellStyle name="Titre 2" xfId="2" builtinId="17"/>
  </cellStyles>
  <dxfs count="591">
    <dxf>
      <numFmt numFmtId="34" formatCode="_ * #,##0.00_)\ &quot;$&quot;_ ;_ * \(#,##0.00\)\ &quot;$&quot;_ ;_ * &quot;-&quot;??_)\ &quot;$&quot;_ ;_ @_ 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 * #,##0.00_)\ &quot;$&quot;_ ;_ * \(#,##0.00\)\ &quot;$&quot;_ ;_ * &quot;-&quot;??_)\ &quot;$&quot;_ ;_ @_ "/>
      <protection locked="1" hidden="1"/>
    </dxf>
    <dxf>
      <numFmt numFmtId="12" formatCode="#,##0.00\ &quot;$&quot;_);[Red]\(#,##0.00\ &quot;$&quot;\)"/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</dxf>
    <dxf>
      <fill>
        <patternFill patternType="lightUp">
          <fgColor rgb="FFFFFFFF"/>
          <bgColor rgb="FF95B3D7"/>
        </patternFill>
      </fill>
    </dxf>
    <dxf>
      <fill>
        <patternFill patternType="lightUp">
          <fgColor theme="0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</dxf>
    <dxf>
      <fill>
        <patternFill patternType="lightUp">
          <fgColor rgb="FFFFFFFF"/>
          <bgColor rgb="FF95B3D7"/>
        </patternFill>
      </fill>
    </dxf>
    <dxf>
      <fill>
        <patternFill patternType="lightUp">
          <fgColor theme="0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</dxf>
    <dxf>
      <fill>
        <patternFill patternType="lightUp">
          <fgColor rgb="FFFFFFFF"/>
          <bgColor rgb="FF95B3D7"/>
        </patternFill>
      </fill>
    </dxf>
    <dxf>
      <fill>
        <patternFill patternType="lightUp">
          <fgColor theme="0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73" formatCode="_ * #,##0_)\ [$$-C0C]_ ;_ * \(#,##0\)\ [$$-C0C]_ ;_ * &quot;-&quot;??_)\ [$$-C0C]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lightUp">
          <fgColor rgb="FFFFFFFF"/>
          <bgColor rgb="FFDA9694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 style="thin">
          <color theme="0"/>
        </left>
        <right/>
        <top style="thick">
          <color theme="0"/>
        </top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73" formatCode="_ * #,##0_)\ [$$-C0C]_ ;_ * \(#,##0\)\ [$$-C0C]_ ;_ * &quot;-&quot;??_)\ [$$-C0C]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lightUp">
          <fgColor rgb="FFFFFFFF"/>
          <bgColor rgb="FFDA9694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</dxf>
    <dxf>
      <fill>
        <patternFill patternType="lightUp">
          <fgColor rgb="FFFFFFFF"/>
          <bgColor rgb="FF95B3D7"/>
        </patternFill>
      </fill>
    </dxf>
    <dxf>
      <fill>
        <patternFill patternType="lightUp">
          <fgColor theme="0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theme="0"/>
        </right>
        <top/>
        <bottom style="thick">
          <color theme="0"/>
        </bottom>
      </border>
    </dxf>
    <dxf>
      <fill>
        <patternFill patternType="lightUp">
          <fgColor rgb="FFFFFFFF"/>
          <bgColor rgb="FF95B3D7"/>
        </patternFill>
      </fill>
    </dxf>
    <dxf>
      <border outline="0">
        <bottom style="thick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</dxf>
    <dxf>
      <fill>
        <patternFill patternType="lightUp">
          <fgColor rgb="FFFFFFFF"/>
          <bgColor rgb="FF95B3D7"/>
        </patternFill>
      </fill>
    </dxf>
    <dxf>
      <fill>
        <patternFill patternType="lightUp">
          <fgColor theme="0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</dxf>
    <dxf>
      <fill>
        <patternFill patternType="lightUp">
          <fgColor rgb="FFFFFFFF"/>
          <bgColor rgb="FF95B3D7"/>
        </patternFill>
      </fill>
    </dxf>
    <dxf>
      <fill>
        <patternFill patternType="lightUp">
          <fgColor theme="0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</dxf>
    <dxf>
      <fill>
        <patternFill patternType="lightUp">
          <fgColor rgb="FFFFFFFF"/>
          <bgColor rgb="FF95B3D7"/>
        </patternFill>
      </fill>
    </dxf>
    <dxf>
      <fill>
        <patternFill patternType="lightUp">
          <fgColor theme="0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73" formatCode="_ * #,##0_)\ [$$-C0C]_ ;_ * \(#,##0\)\ [$$-C0C]_ ;_ * &quot;-&quot;??_)\ [$$-C0C]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lightUp">
          <fgColor rgb="FFFFFFFF"/>
          <bgColor rgb="FFDA9694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 style="thin">
          <color theme="0"/>
        </left>
        <right/>
        <top style="thick">
          <color theme="0"/>
        </top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173" formatCode="_ * #,##0_)\ [$$-C0C]_ ;_ * \(#,##0\)\ [$$-C0C]_ ;_ * &quot;-&quot;??_)\ [$$-C0C]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lightUp">
          <fgColor rgb="FFFFFFFF"/>
          <bgColor rgb="FFDA9694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</dxf>
    <dxf>
      <fill>
        <patternFill patternType="lightUp">
          <fgColor rgb="FFFFFFFF"/>
          <bgColor rgb="FF95B3D7"/>
        </patternFill>
      </fill>
    </dxf>
    <dxf>
      <fill>
        <patternFill patternType="lightUp">
          <fgColor theme="0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theme="0"/>
        </right>
        <top/>
        <bottom style="thick">
          <color theme="0"/>
        </bottom>
      </border>
    </dxf>
    <dxf>
      <fill>
        <patternFill patternType="lightUp">
          <fgColor rgb="FFFFFFFF"/>
          <bgColor rgb="FF95B3D7"/>
        </patternFill>
      </fill>
    </dxf>
    <dxf>
      <border outline="0">
        <bottom style="thick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</dxf>
    <dxf>
      <fill>
        <patternFill patternType="lightUp">
          <fgColor theme="0"/>
          <bgColor theme="4" tint="0.39997558519241921"/>
        </patternFill>
      </fill>
      <protection locked="0" hidden="0"/>
    </dxf>
    <dxf>
      <protection locked="0" hidden="0"/>
    </dxf>
    <dxf>
      <fill>
        <patternFill patternType="lightUp">
          <fgColor theme="0"/>
          <bgColor theme="4" tint="0.399975585192419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</dxf>
    <dxf>
      <fill>
        <patternFill patternType="lightUp">
          <fgColor theme="0"/>
          <bgColor theme="4" tint="0.39997558519241921"/>
        </patternFill>
      </fill>
      <protection locked="0" hidden="0"/>
    </dxf>
    <dxf>
      <protection locked="0" hidden="0"/>
    </dxf>
    <dxf>
      <fill>
        <patternFill patternType="lightUp">
          <fgColor theme="0"/>
          <bgColor theme="4" tint="0.399975585192419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</dxf>
    <dxf>
      <fill>
        <patternFill patternType="lightUp">
          <fgColor theme="0"/>
          <bgColor theme="4" tint="0.39997558519241921"/>
        </patternFill>
      </fill>
      <protection locked="0" hidden="0"/>
    </dxf>
    <dxf>
      <protection locked="0" hidden="0"/>
    </dxf>
    <dxf>
      <fill>
        <patternFill patternType="lightUp">
          <fgColor theme="0"/>
          <bgColor theme="4" tint="0.399975585192419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numFmt numFmtId="173" formatCode="_ * #,##0_)\ [$$-C0C]_ ;_ * \(#,##0\)\ [$$-C0C]_ ;_ * &quot;-&quot;??_)\ [$$-C0C]_ ;_ @_ 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 style="thin">
          <color theme="0"/>
        </left>
        <right/>
        <top style="thick">
          <color theme="0"/>
        </top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5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5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</dxf>
    <dxf>
      <fill>
        <patternFill patternType="lightUp">
          <fgColor theme="0"/>
          <bgColor theme="4" tint="0.39997558519241921"/>
        </patternFill>
      </fill>
      <protection locked="0" hidden="0"/>
    </dxf>
    <dxf>
      <protection locked="0" hidden="0"/>
    </dxf>
    <dxf>
      <fill>
        <patternFill patternType="lightUp">
          <fgColor theme="0"/>
          <bgColor theme="4" tint="0.399975585192419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theme="0"/>
        </right>
        <top/>
        <bottom style="thick">
          <color theme="0"/>
        </bottom>
      </border>
    </dxf>
    <dxf>
      <numFmt numFmtId="177" formatCode="mmm\/\y\y"/>
      <fill>
        <patternFill patternType="lightUp">
          <fgColor theme="0"/>
          <bgColor theme="4" tint="0.39997558519241921"/>
        </patternFill>
      </fill>
      <protection locked="0" hidden="0"/>
    </dxf>
    <dxf>
      <protection locked="0" hidden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0" hidden="0"/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2" formatCode="_ * #,##0.00_)\ [$$-C0C]_ ;_ * \(#,##0.0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numFmt numFmtId="172" formatCode="_ * #,##0.00_)\ [$$-C0C]_ ;_ * \(#,##0.00\)\ [$$-C0C]_ ;_ * &quot;-&quot;??_)\ [$$-C0C]_ ;_ @_ 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2" formatCode="_ * #,##0.00_)\ [$$-C0C]_ ;_ * \(#,##0.0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2" formatCode="_ * #,##0.00_)\ [$$-C0C]_ ;_ * \(#,##0.0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2" formatCode="_ * #,##0.00_)\ [$$-C0C]_ ;_ * \(#,##0.0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2" formatCode="_ * #,##0.00_)\ [$$-C0C]_ ;_ * \(#,##0.0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2" formatCode="_ * #,##0.00_)\ [$$-C0C]_ ;_ * \(#,##0.0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3" formatCode="_ * #,##0_)\ [$$-C0C]_ ;_ * \(#,##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</dxf>
    <dxf>
      <fill>
        <patternFill patternType="lightUp">
          <fgColor rgb="FFFFFFFF"/>
          <bgColor rgb="FF95B3D7"/>
        </patternFill>
      </fill>
      <protection locked="0" hidden="0"/>
    </dxf>
    <dxf>
      <protection locked="0" hidden="0"/>
    </dxf>
    <dxf>
      <fill>
        <patternFill patternType="lightUp">
          <fgColor theme="0"/>
          <bgColor theme="4" tint="0.399975585192419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2" formatCode="_ * #,##0.00_)\ [$$-C0C]_ ;_ * \(#,##0.0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2" formatCode="_ * #,##0.00_)\ [$$-C0C]_ ;_ * \(#,##0.0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2" formatCode="_ * #,##0.00_)\ [$$-C0C]_ ;_ * \(#,##0.0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2" formatCode="_ * #,##0.00_)\ [$$-C0C]_ ;_ * \(#,##0.0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2" formatCode="_ * #,##0.00_)\ [$$-C0C]_ ;_ * \(#,##0.0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2" formatCode="_ * #,##0.00_)\ [$$-C0C]_ ;_ * \(#,##0.0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2" formatCode="_ * #,##0.00_)\ [$$-C0C]_ ;_ * \(#,##0.0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2" formatCode="_ * #,##0.00_)\ [$$-C0C]_ ;_ * \(#,##0.0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2" formatCode="_ * #,##0.00_)\ [$$-C0C]_ ;_ * \(#,##0.0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2" formatCode="_ * #,##0.00_)\ [$$-C0C]_ ;_ * \(#,##0.0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2" formatCode="_ * #,##0.00_)\ [$$-C0C]_ ;_ * \(#,##0.00\)\ [$$-C0C]_ ;_ * &quot;-&quot;??_)\ [$$-C0C]_ ;_ @_ 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  <protection locked="0" hidden="0"/>
    </dxf>
    <dxf>
      <font>
        <name val="Calibri"/>
        <family val="2"/>
        <scheme val="minor"/>
      </font>
      <numFmt numFmtId="172" formatCode="_ * #,##0.00_)\ [$$-C0C]_ ;_ * \(#,##0.00\)\ [$$-C0C]_ ;_ * &quot;-&quot;??_)\ [$$-C0C]_ ;_ @_ "/>
      <fill>
        <patternFill patternType="lightUp">
          <fgColor theme="0"/>
          <bgColor theme="4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22" formatCode="mmm/yy"/>
      <fill>
        <patternFill patternType="lightUp">
          <fgColor theme="0"/>
          <bgColor theme="4" tint="0.399975585192419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</dxf>
    <dxf>
      <fill>
        <patternFill patternType="lightUp">
          <fgColor rgb="FFFFFFFF"/>
          <bgColor rgb="FF95B3D7"/>
        </patternFill>
      </fill>
      <protection locked="0" hidden="0"/>
    </dxf>
    <dxf>
      <protection locked="0" hidden="0"/>
    </dxf>
    <dxf>
      <fill>
        <patternFill patternType="lightUp">
          <fgColor theme="0"/>
          <bgColor theme="4" tint="0.39997558519241921"/>
        </patternFill>
      </fill>
      <protection locked="0" hidden="0"/>
    </dxf>
  </dxfs>
  <tableStyles count="0" defaultTableStyle="TableStyleMedium9"/>
  <colors>
    <mruColors>
      <color rgb="FFFFFFCC"/>
      <color rgb="FF00FFFF"/>
      <color rgb="FF00FF00"/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800" b="1"/>
              <a:t>Actif vs Passif &amp; Valeur Nette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'Bilan Perso'!$B$36</c:f>
              <c:strCache>
                <c:ptCount val="1"/>
                <c:pt idx="0">
                  <c:v>Total actifs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8774318021043306E-17"/>
                  <c:y val="-2.63765713496339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1B-4986-8F90-F534E4033453}"/>
                </c:ext>
              </c:extLst>
            </c:dLbl>
            <c:dLbl>
              <c:idx val="1"/>
              <c:layout>
                <c:manualLayout>
                  <c:x val="0"/>
                  <c:y val="-2.24524566008197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1B-4986-8F90-F534E4033453}"/>
                </c:ext>
              </c:extLst>
            </c:dLbl>
            <c:dLbl>
              <c:idx val="2"/>
              <c:layout>
                <c:manualLayout>
                  <c:x val="0"/>
                  <c:y val="-2.47273257509477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1B-4986-8F90-F534E4033453}"/>
                </c:ext>
              </c:extLst>
            </c:dLbl>
            <c:dLbl>
              <c:idx val="3"/>
              <c:layout>
                <c:manualLayout>
                  <c:x val="-7.5097272084173224E-17"/>
                  <c:y val="-2.99444367699651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1B-4986-8F90-F534E4033453}"/>
                </c:ext>
              </c:extLst>
            </c:dLbl>
            <c:dLbl>
              <c:idx val="4"/>
              <c:layout>
                <c:manualLayout>
                  <c:x val="-1.4336917562724014E-2"/>
                  <c:y val="-4.45373056438120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1B-4986-8F90-F534E40334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'Bilan Perso'!$C$5:$H$5</c:f>
              <c:numCache>
                <c:formatCode>mmm\-yy</c:formatCode>
                <c:ptCount val="6"/>
                <c:pt idx="0">
                  <c:v>44805</c:v>
                </c:pt>
                <c:pt idx="1">
                  <c:v>45170</c:v>
                </c:pt>
                <c:pt idx="2">
                  <c:v>45536</c:v>
                </c:pt>
                <c:pt idx="3">
                  <c:v>45901</c:v>
                </c:pt>
                <c:pt idx="4">
                  <c:v>46266</c:v>
                </c:pt>
                <c:pt idx="5">
                  <c:v>46631</c:v>
                </c:pt>
              </c:numCache>
            </c:numRef>
          </c:cat>
          <c:val>
            <c:numRef>
              <c:f>'Bilan Perso'!$C$36:$H$36</c:f>
              <c:numCache>
                <c:formatCode>_ * #\ ##0_)\ [$$-C0C]_ ;_ * \(#\ ##0\)\ [$$-C0C]_ ;_ * "-"??_)\ [$$-C0C]_ ;_ @_ </c:formatCode>
                <c:ptCount val="6"/>
                <c:pt idx="0">
                  <c:v>30000</c:v>
                </c:pt>
                <c:pt idx="1">
                  <c:v>60000</c:v>
                </c:pt>
                <c:pt idx="2">
                  <c:v>120000</c:v>
                </c:pt>
                <c:pt idx="3">
                  <c:v>500000</c:v>
                </c:pt>
                <c:pt idx="4">
                  <c:v>700000</c:v>
                </c:pt>
                <c:pt idx="5">
                  <c:v>800000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53-40A6-B33E-3A021087822B}"/>
            </c:ext>
          </c:extLst>
        </c:ser>
        <c:ser>
          <c:idx val="1"/>
          <c:order val="2"/>
          <c:tx>
            <c:strRef>
              <c:f>'Bilan Perso'!$B$54</c:f>
              <c:strCache>
                <c:ptCount val="1"/>
                <c:pt idx="0">
                  <c:v>Total passifs</c:v>
                </c:pt>
              </c:strCache>
            </c:strRef>
          </c:tx>
          <c:spPr>
            <a:solidFill>
              <a:srgbClr val="D48886"/>
            </a:solidFill>
            <a:ln>
              <a:noFill/>
            </a:ln>
            <a:effectLst/>
          </c:spPr>
          <c:invertIfNegative val="0"/>
          <c:cat>
            <c:numRef>
              <c:f>'Bilan Perso'!$C$5:$H$5</c:f>
              <c:numCache>
                <c:formatCode>mmm\-yy</c:formatCode>
                <c:ptCount val="6"/>
                <c:pt idx="0">
                  <c:v>44805</c:v>
                </c:pt>
                <c:pt idx="1">
                  <c:v>45170</c:v>
                </c:pt>
                <c:pt idx="2">
                  <c:v>45536</c:v>
                </c:pt>
                <c:pt idx="3">
                  <c:v>45901</c:v>
                </c:pt>
                <c:pt idx="4">
                  <c:v>46266</c:v>
                </c:pt>
                <c:pt idx="5">
                  <c:v>46631</c:v>
                </c:pt>
              </c:numCache>
            </c:numRef>
          </c:cat>
          <c:val>
            <c:numRef>
              <c:f>'Bilan Perso'!$C$55:$H$55</c:f>
              <c:numCache>
                <c:formatCode>_ * #\ ##0_)\ [$$-C0C]_ ;_ * \(#\ ##0\)\ [$$-C0C]_ ;_ * "-"??_)\ [$$-C0C]_ ;_ @_ </c:formatCode>
                <c:ptCount val="6"/>
                <c:pt idx="0">
                  <c:v>-60000</c:v>
                </c:pt>
                <c:pt idx="1">
                  <c:v>-12000</c:v>
                </c:pt>
                <c:pt idx="2">
                  <c:v>-30000</c:v>
                </c:pt>
                <c:pt idx="3">
                  <c:v>-300000</c:v>
                </c:pt>
                <c:pt idx="4">
                  <c:v>-280000</c:v>
                </c:pt>
                <c:pt idx="5">
                  <c:v>-250000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53-40A6-B33E-3A0210878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835174543"/>
        <c:axId val="835172463"/>
      </c:barChart>
      <c:lineChart>
        <c:grouping val="standard"/>
        <c:varyColors val="0"/>
        <c:ser>
          <c:idx val="0"/>
          <c:order val="1"/>
          <c:tx>
            <c:strRef>
              <c:f>'Bilan Perso'!$B$57</c:f>
              <c:strCache>
                <c:ptCount val="1"/>
                <c:pt idx="0">
                  <c:v>Valeur nette</c:v>
                </c:pt>
              </c:strCache>
            </c:strRef>
          </c:tx>
          <c:spPr>
            <a:ln w="635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63500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8635452826461207E-2"/>
                  <c:y val="2.2431735506745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1B-4986-8F90-F534E4033453}"/>
                </c:ext>
              </c:extLst>
            </c:dLbl>
            <c:dLbl>
              <c:idx val="1"/>
              <c:layout>
                <c:manualLayout>
                  <c:x val="-2.8635452826461207E-2"/>
                  <c:y val="2.8279688723120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1B-4986-8F90-F534E4033453}"/>
                </c:ext>
              </c:extLst>
            </c:dLbl>
            <c:dLbl>
              <c:idx val="2"/>
              <c:layout>
                <c:manualLayout>
                  <c:x val="-2.7324648935012154E-2"/>
                  <c:y val="3.4127641939494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1B-4986-8F90-F534E4033453}"/>
                </c:ext>
              </c:extLst>
            </c:dLbl>
            <c:dLbl>
              <c:idx val="3"/>
              <c:layout>
                <c:manualLayout>
                  <c:x val="-2.0450588837685611E-2"/>
                  <c:y val="2.63303709843287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1B-4986-8F90-F534E4033453}"/>
                </c:ext>
              </c:extLst>
            </c:dLbl>
            <c:dLbl>
              <c:idx val="4"/>
              <c:layout>
                <c:manualLayout>
                  <c:x val="-2.1761392729134663E-2"/>
                  <c:y val="3.99755951558686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1B-4986-8F90-F534E40334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'Bilan Perso'!$C$57:$H$57</c:f>
              <c:numCache>
                <c:formatCode>_ * #\ ##0_)\ [$$-C0C]_ ;_ * \(#\ ##0\)\ [$$-C0C]_ ;_ * "-"??_)\ [$$-C0C]_ ;_ @_ </c:formatCode>
                <c:ptCount val="6"/>
                <c:pt idx="0">
                  <c:v>-30000</c:v>
                </c:pt>
                <c:pt idx="1">
                  <c:v>48000</c:v>
                </c:pt>
                <c:pt idx="2">
                  <c:v>90000</c:v>
                </c:pt>
                <c:pt idx="3">
                  <c:v>200000</c:v>
                </c:pt>
                <c:pt idx="4">
                  <c:v>420000</c:v>
                </c:pt>
                <c:pt idx="5">
                  <c:v>550000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153-40A6-B33E-3A0210878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174543"/>
        <c:axId val="835172463"/>
      </c:lineChart>
      <c:dateAx>
        <c:axId val="8351745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A" sz="1400" b="1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5172463"/>
        <c:crosses val="autoZero"/>
        <c:auto val="1"/>
        <c:lblOffset val="100"/>
        <c:baseTimeUnit val="years"/>
        <c:majorTimeUnit val="years"/>
        <c:minorTimeUnit val="months"/>
      </c:dateAx>
      <c:valAx>
        <c:axId val="835172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A" sz="1400" b="1"/>
                  <a:t>Valeur patrimoine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 * #\ ##0_)\ [$$-C0C]_ ;_ * \(#\ ##0\)\ [$$-C0C]_ ;_ * &quot;-&quot;??_)\ [$$-C0C]_ ;_ @_ " sourceLinked="1"/>
        <c:majorTickMark val="none"/>
        <c:minorTickMark val="none"/>
        <c:tickLblPos val="nextTo"/>
        <c:spPr>
          <a:noFill/>
          <a:ln>
            <a:solidFill>
              <a:schemeClr val="accent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5174543"/>
        <c:crosses val="autoZero"/>
        <c:crossBetween val="between"/>
      </c:valAx>
      <c:dTable>
        <c:showHorzBorder val="0"/>
        <c:showVertBorder val="0"/>
        <c:showOutline val="0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u="sng"/>
              <a:t>Répartition des dépenses</a:t>
            </a:r>
          </a:p>
        </c:rich>
      </c:tx>
      <c:layout>
        <c:manualLayout>
          <c:xMode val="edge"/>
          <c:yMode val="edge"/>
          <c:x val="2.0007639414202642E-2"/>
          <c:y val="1.52431010564789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3535131425964617"/>
          <c:w val="1"/>
          <c:h val="0.8266858974358974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FA6-4C86-B05B-6AECC7E68D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FA6-4C86-B05B-6AECC7E68D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FA6-4C86-B05B-6AECC7E68D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FA6-4C86-B05B-6AECC7E68D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FA6-4C86-B05B-6AECC7E68D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FA6-4C86-B05B-6AECC7E68D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2FA6-4C86-B05B-6AECC7E68D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2FA6-4C86-B05B-6AECC7E68D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2FA6-4C86-B05B-6AECC7E68DD9}"/>
              </c:ext>
            </c:extLst>
          </c:dPt>
          <c:dLbls>
            <c:dLbl>
              <c:idx val="0"/>
              <c:layout>
                <c:manualLayout>
                  <c:x val="3.5249667168535274E-2"/>
                  <c:y val="-3.231410256410256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A6-4C86-B05B-6AECC7E68DD9}"/>
                </c:ext>
              </c:extLst>
            </c:dLbl>
            <c:dLbl>
              <c:idx val="6"/>
              <c:layout>
                <c:manualLayout>
                  <c:x val="-6.407260626782435E-2"/>
                  <c:y val="-3.130033238366571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A6-4C86-B05B-6AECC7E68DD9}"/>
                </c:ext>
              </c:extLst>
            </c:dLbl>
            <c:dLbl>
              <c:idx val="7"/>
              <c:layout>
                <c:manualLayout>
                  <c:x val="-3.6827968154128247E-2"/>
                  <c:y val="-8.4073743962471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A6-4C86-B05B-6AECC7E68DD9}"/>
                </c:ext>
              </c:extLst>
            </c:dLbl>
            <c:dLbl>
              <c:idx val="8"/>
              <c:layout>
                <c:manualLayout>
                  <c:x val="3.5120606741068178E-2"/>
                  <c:y val="-8.702202376051383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A6-4C86-B05B-6AECC7E68DD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('Budget %'!$B$12,'Budget %'!$B$14,'Budget %'!$B$19,'Budget %'!$B$26,'Budget %'!$B$31,'Budget %'!$B$37,'Budget %'!$B$44,'Budget %'!$B$51,'Budget %'!$B$60)</c:f>
              <c:strCache>
                <c:ptCount val="9"/>
                <c:pt idx="0">
                  <c:v>Assurances</c:v>
                </c:pt>
                <c:pt idx="1">
                  <c:v>Épargne &amp; Placements</c:v>
                </c:pt>
                <c:pt idx="2">
                  <c:v>Résidence</c:v>
                </c:pt>
                <c:pt idx="3">
                  <c:v>Services</c:v>
                </c:pt>
                <c:pt idx="4">
                  <c:v>Alimentation</c:v>
                </c:pt>
                <c:pt idx="5">
                  <c:v>Transport</c:v>
                </c:pt>
                <c:pt idx="6">
                  <c:v>Santé &amp; Loisirs</c:v>
                </c:pt>
                <c:pt idx="7">
                  <c:v>Autres </c:v>
                </c:pt>
                <c:pt idx="8">
                  <c:v>Gestion de crédit</c:v>
                </c:pt>
              </c:strCache>
            </c:strRef>
          </c:cat>
          <c:val>
            <c:numRef>
              <c:f>('Budget %'!$C$12,'Budget %'!$C$14,'Budget %'!$C$19,'Budget %'!$C$26,'Budget %'!$C$31,'Budget %'!$C$37,'Budget %'!$C$44,'Budget %'!$C$51,'Budget %'!$C$60)</c:f>
              <c:numCache>
                <c:formatCode>_ * #\ ##0_)\ [$$-C0C]_ ;_ * \(#\ ##0\)\ [$$-C0C]_ ;_ * "-"??_)\ [$$-C0C]_ ;_ @_ </c:formatCode>
                <c:ptCount val="9"/>
                <c:pt idx="0">
                  <c:v>100</c:v>
                </c:pt>
                <c:pt idx="1">
                  <c:v>500</c:v>
                </c:pt>
                <c:pt idx="2">
                  <c:v>1450</c:v>
                </c:pt>
                <c:pt idx="3">
                  <c:v>120</c:v>
                </c:pt>
                <c:pt idx="4">
                  <c:v>320</c:v>
                </c:pt>
                <c:pt idx="5">
                  <c:v>590</c:v>
                </c:pt>
                <c:pt idx="6">
                  <c:v>140</c:v>
                </c:pt>
                <c:pt idx="7">
                  <c:v>30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FA6-4C86-B05B-6AECC7E68DD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05235488526447"/>
          <c:y val="0.11950485049814863"/>
          <c:w val="0.22749640902938298"/>
          <c:h val="0.878380579297246"/>
        </c:manualLayout>
      </c:layout>
      <c:overlay val="0"/>
      <c:spPr>
        <a:solidFill>
          <a:schemeClr val="lt1">
            <a:lumMod val="95000"/>
            <a:alpha val="39000"/>
          </a:schemeClr>
        </a:solidFill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73270</xdr:colOff>
      <xdr:row>0</xdr:row>
      <xdr:rowOff>0</xdr:rowOff>
    </xdr:from>
    <xdr:to>
      <xdr:col>8</xdr:col>
      <xdr:colOff>14654</xdr:colOff>
      <xdr:row>1</xdr:row>
      <xdr:rowOff>224729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2914E1-0765-4786-9050-E14199911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79170" y="0"/>
          <a:ext cx="1160584" cy="462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73270</xdr:colOff>
      <xdr:row>0</xdr:row>
      <xdr:rowOff>0</xdr:rowOff>
    </xdr:from>
    <xdr:to>
      <xdr:col>8</xdr:col>
      <xdr:colOff>14654</xdr:colOff>
      <xdr:row>1</xdr:row>
      <xdr:rowOff>224729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D94B839-CBEC-428F-BE1B-72F6C8EC0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4299" y="0"/>
          <a:ext cx="1161317" cy="462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40296</xdr:colOff>
      <xdr:row>0</xdr:row>
      <xdr:rowOff>14652</xdr:rowOff>
    </xdr:from>
    <xdr:to>
      <xdr:col>7</xdr:col>
      <xdr:colOff>1249240</xdr:colOff>
      <xdr:row>1</xdr:row>
      <xdr:rowOff>340647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0F090D2-60E5-481F-968B-E9345ECCE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9027" y="14652"/>
          <a:ext cx="1208944" cy="4945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1135673</xdr:colOff>
      <xdr:row>0</xdr:row>
      <xdr:rowOff>0</xdr:rowOff>
    </xdr:from>
    <xdr:to>
      <xdr:col>8</xdr:col>
      <xdr:colOff>1</xdr:colOff>
      <xdr:row>1</xdr:row>
      <xdr:rowOff>325995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DA38CF3-BEA7-492F-A65F-7A66192F6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9898" y="0"/>
          <a:ext cx="1207479" cy="4879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1135673</xdr:colOff>
      <xdr:row>0</xdr:row>
      <xdr:rowOff>0</xdr:rowOff>
    </xdr:from>
    <xdr:to>
      <xdr:col>8</xdr:col>
      <xdr:colOff>2</xdr:colOff>
      <xdr:row>1</xdr:row>
      <xdr:rowOff>325995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B70AF82-97C1-4F62-B127-DF0C6A7D1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9898" y="0"/>
          <a:ext cx="1207479" cy="4879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738188</xdr:colOff>
      <xdr:row>39</xdr:row>
      <xdr:rowOff>142875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E490E0F7-49AB-44D2-A301-579DCFD51095}"/>
            </a:ext>
            <a:ext uri="{147F2762-F138-4A5C-976F-8EAC2B608ADB}">
              <a16:predDERef xmlns:a16="http://schemas.microsoft.com/office/drawing/2014/main" pred="{C4035D5C-D8A9-4569-8990-533F70886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34086" cy="622470"/>
    <xdr:pic>
      <xdr:nvPicPr>
        <xdr:cNvPr id="2" name="Image 1">
          <a:extLst>
            <a:ext uri="{FF2B5EF4-FFF2-40B4-BE49-F238E27FC236}">
              <a16:creationId xmlns:a16="http://schemas.microsoft.com/office/drawing/2014/main" id="{193B9DDB-CDA3-4CAC-81D0-499D7C57C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4086" cy="622470"/>
        </a:xfrm>
        <a:prstGeom prst="rect">
          <a:avLst/>
        </a:prstGeom>
      </xdr:spPr>
    </xdr:pic>
    <xdr:clientData/>
  </xdr:oneCellAnchor>
  <xdr:twoCellAnchor>
    <xdr:from>
      <xdr:col>6</xdr:col>
      <xdr:colOff>1985975</xdr:colOff>
      <xdr:row>3</xdr:row>
      <xdr:rowOff>133351</xdr:rowOff>
    </xdr:from>
    <xdr:to>
      <xdr:col>17</xdr:col>
      <xdr:colOff>247650</xdr:colOff>
      <xdr:row>20</xdr:row>
      <xdr:rowOff>13745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54CDDAD-8ACD-4A4D-9155-9A695665D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9529</xdr:colOff>
      <xdr:row>17</xdr:row>
      <xdr:rowOff>1</xdr:rowOff>
    </xdr:from>
    <xdr:to>
      <xdr:col>15</xdr:col>
      <xdr:colOff>419099</xdr:colOff>
      <xdr:row>23</xdr:row>
      <xdr:rowOff>171450</xdr:rowOff>
    </xdr:to>
    <xdr:cxnSp macro="">
      <xdr:nvCxnSpPr>
        <xdr:cNvPr id="2" name="Connecteur : en angle 1">
          <a:extLst>
            <a:ext uri="{FF2B5EF4-FFF2-40B4-BE49-F238E27FC236}">
              <a16:creationId xmlns:a16="http://schemas.microsoft.com/office/drawing/2014/main" id="{9C128696-2BD5-4782-9711-B45112273B50}"/>
            </a:ext>
          </a:extLst>
        </xdr:cNvPr>
        <xdr:cNvCxnSpPr/>
      </xdr:nvCxnSpPr>
      <xdr:spPr>
        <a:xfrm rot="5400000" flipH="1" flipV="1">
          <a:off x="5929314" y="6281741"/>
          <a:ext cx="2171699" cy="1381120"/>
        </a:xfrm>
        <a:prstGeom prst="bentConnector3">
          <a:avLst>
            <a:gd name="adj1" fmla="val 439"/>
          </a:avLst>
        </a:prstGeom>
        <a:ln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</xdr:colOff>
      <xdr:row>17</xdr:row>
      <xdr:rowOff>95250</xdr:rowOff>
    </xdr:from>
    <xdr:to>
      <xdr:col>16</xdr:col>
      <xdr:colOff>180979</xdr:colOff>
      <xdr:row>27</xdr:row>
      <xdr:rowOff>190501</xdr:rowOff>
    </xdr:to>
    <xdr:cxnSp macro="">
      <xdr:nvCxnSpPr>
        <xdr:cNvPr id="3" name="Connecteur : en angle 2">
          <a:extLst>
            <a:ext uri="{FF2B5EF4-FFF2-40B4-BE49-F238E27FC236}">
              <a16:creationId xmlns:a16="http://schemas.microsoft.com/office/drawing/2014/main" id="{A0183FD6-1671-457F-BBDC-730D572C5127}"/>
            </a:ext>
          </a:extLst>
        </xdr:cNvPr>
        <xdr:cNvCxnSpPr/>
      </xdr:nvCxnSpPr>
      <xdr:spPr>
        <a:xfrm rot="5400000" flipH="1" flipV="1">
          <a:off x="5414964" y="6881812"/>
          <a:ext cx="3429001" cy="1628778"/>
        </a:xfrm>
        <a:prstGeom prst="bentConnector3">
          <a:avLst>
            <a:gd name="adj1" fmla="val -345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9528</xdr:colOff>
      <xdr:row>17</xdr:row>
      <xdr:rowOff>19050</xdr:rowOff>
    </xdr:from>
    <xdr:to>
      <xdr:col>6</xdr:col>
      <xdr:colOff>0</xdr:colOff>
      <xdr:row>19</xdr:row>
      <xdr:rowOff>190500</xdr:rowOff>
    </xdr:to>
    <xdr:cxnSp macro="">
      <xdr:nvCxnSpPr>
        <xdr:cNvPr id="4" name="Connecteur : en angle 3">
          <a:extLst>
            <a:ext uri="{FF2B5EF4-FFF2-40B4-BE49-F238E27FC236}">
              <a16:creationId xmlns:a16="http://schemas.microsoft.com/office/drawing/2014/main" id="{EBA5D894-BD36-432A-9490-F369DE902CEE}"/>
            </a:ext>
          </a:extLst>
        </xdr:cNvPr>
        <xdr:cNvCxnSpPr/>
      </xdr:nvCxnSpPr>
      <xdr:spPr>
        <a:xfrm rot="10800000">
          <a:off x="1466853" y="5905500"/>
          <a:ext cx="1447797" cy="838200"/>
        </a:xfrm>
        <a:prstGeom prst="bentConnector3">
          <a:avLst>
            <a:gd name="adj1" fmla="val 100365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247651</xdr:colOff>
      <xdr:row>17</xdr:row>
      <xdr:rowOff>133350</xdr:rowOff>
    </xdr:from>
    <xdr:to>
      <xdr:col>6</xdr:col>
      <xdr:colOff>9526</xdr:colOff>
      <xdr:row>21</xdr:row>
      <xdr:rowOff>171450</xdr:rowOff>
    </xdr:to>
    <xdr:cxnSp macro="">
      <xdr:nvCxnSpPr>
        <xdr:cNvPr id="5" name="Connecteur : en angle 4">
          <a:extLst>
            <a:ext uri="{FF2B5EF4-FFF2-40B4-BE49-F238E27FC236}">
              <a16:creationId xmlns:a16="http://schemas.microsoft.com/office/drawing/2014/main" id="{2E7EAC10-A32F-4E74-9C0A-0F6EE6205BF0}"/>
            </a:ext>
          </a:extLst>
        </xdr:cNvPr>
        <xdr:cNvCxnSpPr/>
      </xdr:nvCxnSpPr>
      <xdr:spPr>
        <a:xfrm rot="10800000">
          <a:off x="1219201" y="6019800"/>
          <a:ext cx="1704975" cy="1371600"/>
        </a:xfrm>
        <a:prstGeom prst="bentConnector3">
          <a:avLst>
            <a:gd name="adj1" fmla="val 100314"/>
          </a:avLst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390524</xdr:colOff>
      <xdr:row>10</xdr:row>
      <xdr:rowOff>238125</xdr:rowOff>
    </xdr:from>
    <xdr:to>
      <xdr:col>8</xdr:col>
      <xdr:colOff>438149</xdr:colOff>
      <xdr:row>10</xdr:row>
      <xdr:rowOff>657225</xdr:rowOff>
    </xdr:to>
    <xdr:sp macro="" textlink="">
      <xdr:nvSpPr>
        <xdr:cNvPr id="6" name="Flèche : courbe vers le bas 5">
          <a:extLst>
            <a:ext uri="{FF2B5EF4-FFF2-40B4-BE49-F238E27FC236}">
              <a16:creationId xmlns:a16="http://schemas.microsoft.com/office/drawing/2014/main" id="{BE7486D1-899E-4E5A-B865-18BA205640D4}"/>
            </a:ext>
          </a:extLst>
        </xdr:cNvPr>
        <xdr:cNvSpPr/>
      </xdr:nvSpPr>
      <xdr:spPr>
        <a:xfrm>
          <a:off x="1362074" y="3467100"/>
          <a:ext cx="2962275" cy="419100"/>
        </a:xfrm>
        <a:prstGeom prst="curvedDown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9522</xdr:colOff>
      <xdr:row>10</xdr:row>
      <xdr:rowOff>247648</xdr:rowOff>
    </xdr:from>
    <xdr:to>
      <xdr:col>16</xdr:col>
      <xdr:colOff>47621</xdr:colOff>
      <xdr:row>10</xdr:row>
      <xdr:rowOff>666749</xdr:rowOff>
    </xdr:to>
    <xdr:sp macro="" textlink="">
      <xdr:nvSpPr>
        <xdr:cNvPr id="7" name="Flèche : courbe vers le haut 6">
          <a:extLst>
            <a:ext uri="{FF2B5EF4-FFF2-40B4-BE49-F238E27FC236}">
              <a16:creationId xmlns:a16="http://schemas.microsoft.com/office/drawing/2014/main" id="{EFEF937A-2729-4FBB-A9C0-22D4B1DCC80C}"/>
            </a:ext>
          </a:extLst>
        </xdr:cNvPr>
        <xdr:cNvSpPr/>
      </xdr:nvSpPr>
      <xdr:spPr>
        <a:xfrm rot="10800000">
          <a:off x="4867272" y="3476623"/>
          <a:ext cx="2943224" cy="419101"/>
        </a:xfrm>
        <a:prstGeom prst="curvedUp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38100</xdr:colOff>
      <xdr:row>13</xdr:row>
      <xdr:rowOff>85725</xdr:rowOff>
    </xdr:from>
    <xdr:to>
      <xdr:col>10</xdr:col>
      <xdr:colOff>38100</xdr:colOff>
      <xdr:row>14</xdr:row>
      <xdr:rowOff>276225</xdr:rowOff>
    </xdr:to>
    <xdr:sp macro="" textlink="">
      <xdr:nvSpPr>
        <xdr:cNvPr id="8" name="Flèche : bas 7">
          <a:extLst>
            <a:ext uri="{FF2B5EF4-FFF2-40B4-BE49-F238E27FC236}">
              <a16:creationId xmlns:a16="http://schemas.microsoft.com/office/drawing/2014/main" id="{3800F9FF-E876-4B26-9378-D0E002364381}"/>
            </a:ext>
          </a:extLst>
        </xdr:cNvPr>
        <xdr:cNvSpPr/>
      </xdr:nvSpPr>
      <xdr:spPr>
        <a:xfrm>
          <a:off x="4410075" y="4638675"/>
          <a:ext cx="485775" cy="523875"/>
        </a:xfrm>
        <a:prstGeom prst="downArrow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B57BF0B-C10A-491B-BF66-2CD97CACDB47}" name="currentassets27" displayName="currentassets27" ref="B6:H14" headerRowCount="0" totalsRowCount="1" headerRowDxfId="590" dataDxfId="589" totalsRowDxfId="588">
  <sortState xmlns:xlrd2="http://schemas.microsoft.com/office/spreadsheetml/2017/richdata2" ref="B6:H8">
    <sortCondition descending="1" ref="C5:C8"/>
  </sortState>
  <tableColumns count="7">
    <tableColumn id="1" xr3:uid="{823C92B9-AEEF-4949-84D5-7DE6790BAA8E}" name="Actifs" headerRowDxfId="587" dataDxfId="586" totalsRowDxfId="585"/>
    <tableColumn id="2" xr3:uid="{51184545-F2EB-4B30-A795-9F4D829EA84B}" name="Colonne1" headerRowDxfId="584" dataDxfId="583" totalsRowDxfId="582"/>
    <tableColumn id="3" xr3:uid="{0E04F86A-B7F7-4945-9915-757ECE75787C}" name="Colonne2" headerRowDxfId="581" dataDxfId="580" totalsRowDxfId="579"/>
    <tableColumn id="6" xr3:uid="{0D3E4985-23B1-4095-A6F2-7F5A7FA9F44E}" name="Colonne3" headerRowDxfId="578" dataDxfId="577" totalsRowDxfId="576"/>
    <tableColumn id="7" xr3:uid="{62C4E41E-2F46-4C7C-BAE7-3EDACBD6ED7B}" name="Colonne4" headerRowDxfId="575" dataDxfId="574" totalsRowDxfId="573"/>
    <tableColumn id="8" xr3:uid="{BE691A23-8D1D-4B0F-B59F-C0C87305191B}" name="Colonne5" headerRowDxfId="572" dataDxfId="571" totalsRowDxfId="570"/>
    <tableColumn id="9" xr3:uid="{08B2169F-33D2-4F27-A09C-167787429E8B}" name="Colonne6" headerRowDxfId="569" dataDxfId="568" totalsRowDxfId="567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6611376-54BF-485C-96A6-9B8949BC5C45}" name="fixedassets7" displayName="fixedassets7" ref="B20:H23" headerRowCount="0" totalsRowCount="1" headerRowDxfId="361" totalsRowDxfId="359" headerRowBorderDxfId="360">
  <tableColumns count="7">
    <tableColumn id="1" xr3:uid="{755942E7-AEB6-40AF-996B-6FE8811E752E}" name="Actifs" totalsRowLabel="Total immobilisations" headerRowDxfId="358" dataDxfId="357" totalsRowDxfId="356"/>
    <tableColumn id="2" xr3:uid="{33354F54-4050-4E5A-A910-74FECBCEB2A6}" name="Colonne1" totalsRowFunction="custom" headerRowDxfId="355" dataDxfId="354" totalsRowDxfId="353">
      <totalsRowFormula>SUM(C20:C22)</totalsRowFormula>
    </tableColumn>
    <tableColumn id="3" xr3:uid="{201B042B-FE9B-43AB-8F9B-A1DC462ADF2C}" name="Colonne2" totalsRowFunction="custom" headerRowDxfId="352" dataDxfId="351" totalsRowDxfId="350">
      <totalsRowFormula>SUM(D20:D22)</totalsRowFormula>
    </tableColumn>
    <tableColumn id="4" xr3:uid="{0B6948E6-F2A7-464B-8B3B-3E7AE7FE87B3}" name="Colonne3" totalsRowFunction="custom" headerRowDxfId="349" dataDxfId="348" totalsRowDxfId="347">
      <totalsRowFormula>SUM(E20:E22)</totalsRowFormula>
    </tableColumn>
    <tableColumn id="5" xr3:uid="{AFEA08A3-31A2-429A-8682-6B16E1850FCF}" name="Colonne4" totalsRowFunction="custom" headerRowDxfId="346" dataDxfId="345" totalsRowDxfId="344">
      <totalsRowFormula>SUM(F20:F22)</totalsRowFormula>
    </tableColumn>
    <tableColumn id="6" xr3:uid="{1A9D8266-0F46-42D2-8274-71343E7C8E59}" name="Colonne5" totalsRowFunction="custom" headerRowDxfId="343" dataDxfId="342" totalsRowDxfId="341">
      <totalsRowFormula>SUM(G20:G22)</totalsRowFormula>
    </tableColumn>
    <tableColumn id="7" xr3:uid="{5B139553-0EA3-4FCC-99BD-6FB0EAF3A6B0}" name="Colonne6" totalsRowFunction="custom" headerRowDxfId="340" dataDxfId="339" totalsRowDxfId="338">
      <totalsRowFormula>SUM(H20:H22)</totalsRow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ED5EE61-0282-48C2-9583-5A6599B6573D}" name="otherassets10" displayName="otherassets10" ref="B32:H35" headerRowCount="0" totalsRowCount="1" headerRowDxfId="337" totalsRowDxfId="336">
  <tableColumns count="7">
    <tableColumn id="1" xr3:uid="{381399D7-1992-4A55-B9EC-54AF8F00DEA7}" name="Autres actifs :" totalsRowLabel="Total autres actifs" headerRowDxfId="335" dataDxfId="334" totalsRowDxfId="333"/>
    <tableColumn id="2" xr3:uid="{AA9FC95E-4670-4032-A281-8589473DD6F2}" name="Colonne1" totalsRowFunction="custom" headerRowDxfId="332" dataDxfId="331" totalsRowDxfId="330">
      <totalsRowFormula>SUM(C32:C34)</totalsRowFormula>
    </tableColumn>
    <tableColumn id="3" xr3:uid="{2DD88933-C247-4191-9844-27036F14C888}" name="Colonne2" totalsRowFunction="custom" headerRowDxfId="329" dataDxfId="328" totalsRowDxfId="327">
      <totalsRowFormula>SUM(D32:D34)</totalsRowFormula>
    </tableColumn>
    <tableColumn id="4" xr3:uid="{615F5DB9-1D09-4819-883C-4BE5955F1C11}" name="Colonne3" totalsRowFunction="custom" headerRowDxfId="326" dataDxfId="325" totalsRowDxfId="324">
      <totalsRowFormula>SUM(E32:E34)</totalsRowFormula>
    </tableColumn>
    <tableColumn id="5" xr3:uid="{F33444BC-45D8-460A-8DCD-BD29FC5251D8}" name="Colonne4" totalsRowFunction="custom" headerRowDxfId="323" dataDxfId="322" totalsRowDxfId="321">
      <totalsRowFormula>SUM(F32:F34)</totalsRowFormula>
    </tableColumn>
    <tableColumn id="6" xr3:uid="{79D5F8D9-C15C-4644-8CA9-F5BFF34F4ACB}" name="Colonne5" totalsRowFunction="custom" headerRowDxfId="320" dataDxfId="319" totalsRowDxfId="318">
      <totalsRowFormula>SUM(G32:G34)</totalsRowFormula>
    </tableColumn>
    <tableColumn id="7" xr3:uid="{4F7A7A50-1784-4365-94F4-AA404019ED1D}" name="Colonne6" totalsRowFunction="custom" headerRowDxfId="317" dataDxfId="316" totalsRowDxfId="315">
      <totalsRowFormula>SUM(H32:H34)</totalsRow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8DDDCC3-FA32-4B3A-911B-1FB56FB2376A}" name="currentliabilities11" displayName="currentliabilities11" ref="B41:H46" headerRowCount="0" totalsRowCount="1" headerRowDxfId="314" totalsRowDxfId="313">
  <tableColumns count="7">
    <tableColumn id="1" xr3:uid="{74E783C8-CE9F-4487-AC5B-00CE9E5118EA}" name="Passif exigible :" totalsRowLabel="Total du passif court terme" headerRowDxfId="312" dataDxfId="311" totalsRowDxfId="310"/>
    <tableColumn id="2" xr3:uid="{71DD9C93-1035-4242-88E4-6717741DF9F2}" name="Colonne1" totalsRowFunction="custom" headerRowDxfId="309" dataDxfId="308" totalsRowDxfId="307">
      <totalsRowFormula>SUM(C41:C45)</totalsRowFormula>
    </tableColumn>
    <tableColumn id="3" xr3:uid="{7A171FD4-DAF7-4C71-B0C7-66B8799AE449}" name="Colonne2" totalsRowFunction="custom" headerRowDxfId="306" dataDxfId="305" totalsRowDxfId="304">
      <totalsRowFormula>SUM(D41:D45)</totalsRowFormula>
    </tableColumn>
    <tableColumn id="4" xr3:uid="{32A533CA-EE58-4FDE-801F-C02A80BA2354}" name="Colonne3" totalsRowFunction="custom" headerRowDxfId="303" dataDxfId="302" totalsRowDxfId="301">
      <totalsRowFormula>SUM(E41:E45)</totalsRowFormula>
    </tableColumn>
    <tableColumn id="5" xr3:uid="{EC81A858-BAE9-483B-A0E7-D9DAAD0DE6C7}" name="Colonne4" totalsRowFunction="custom" headerRowDxfId="300" dataDxfId="299" totalsRowDxfId="298">
      <totalsRowFormula>SUM(F41:F45)</totalsRowFormula>
    </tableColumn>
    <tableColumn id="6" xr3:uid="{688F9CC1-7958-41B9-A31C-70A255F214CF}" name="Colonne5" totalsRowFunction="custom" headerRowDxfId="297" dataDxfId="296" totalsRowDxfId="295">
      <totalsRowFormula>SUM(G41:G45)</totalsRowFormula>
    </tableColumn>
    <tableColumn id="7" xr3:uid="{961F3D99-5FC2-4EA1-8E10-6AFEE94D01EF}" name="Colonne6" totalsRowFunction="custom" headerRowDxfId="294" dataDxfId="293" totalsRowDxfId="292">
      <totalsRowFormula>SUM(H41:H45)</totalsRowFormula>
    </tableColumn>
  </tableColumns>
  <tableStyleInfo name="TableStyleMedium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789140C-E8C7-41E5-99F6-F8DB584893DC}" name="longtermliabilities12" displayName="longtermliabilities12" ref="B49:H52" headerRowCount="0" totalsRowCount="1" headerRowDxfId="291" totalsRowDxfId="290">
  <tableColumns count="7">
    <tableColumn id="1" xr3:uid="{49BE6336-ABAD-4010-94AB-559B87A43460}" name="Dettes à long terme :" totalsRowLabel="Total dettes à long terme" headerRowDxfId="289" dataDxfId="288" totalsRowDxfId="287"/>
    <tableColumn id="2" xr3:uid="{69F00798-ADE4-4974-89E5-66CBF99F4A17}" name="Colonne1" totalsRowFunction="custom" headerRowDxfId="286" dataDxfId="285" totalsRowDxfId="284">
      <totalsRowFormula>SUM(C49:C51)</totalsRowFormula>
    </tableColumn>
    <tableColumn id="3" xr3:uid="{772DF411-AAFD-4753-BE9D-248EB6B3D987}" name="Colonne2" totalsRowFunction="custom" headerRowDxfId="283" dataDxfId="282" totalsRowDxfId="281">
      <totalsRowFormula>SUM(D49:D51)</totalsRowFormula>
    </tableColumn>
    <tableColumn id="4" xr3:uid="{52BFBB62-C7CD-411A-B51F-CFBA6EE2F3E1}" name="Colonne3" totalsRowFunction="custom" headerRowDxfId="280" dataDxfId="279" totalsRowDxfId="278">
      <totalsRowFormula>SUM(E49:E51)</totalsRowFormula>
    </tableColumn>
    <tableColumn id="5" xr3:uid="{81BA03DE-2CC5-4215-9BF9-8DF7EB2DA52B}" name="Colonne4" totalsRowFunction="custom" headerRowDxfId="277" dataDxfId="276" totalsRowDxfId="275">
      <totalsRowFormula>SUM(F49:F51)</totalsRowFormula>
    </tableColumn>
    <tableColumn id="6" xr3:uid="{3A128CAD-07DB-4357-BA61-5F9DABA79B6A}" name="Colonne5" totalsRowFunction="custom" headerRowDxfId="274" dataDxfId="273" totalsRowDxfId="272">
      <totalsRowFormula>SUM(G49:G51)</totalsRowFormula>
    </tableColumn>
    <tableColumn id="7" xr3:uid="{0420C530-BF14-417B-B44B-7756A7BD642C}" name="Colonne6" totalsRowFunction="custom" headerRowDxfId="271" dataDxfId="270" totalsRowDxfId="269">
      <totalsRowFormula>SUM(H49:H51)</totalsRowFormula>
    </tableColumn>
  </tableColumns>
  <tableStyleInfo name="TableStyleMedium1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FAB4F79-36B6-496F-9CDD-F773C88FD642}" name="currentassets13" displayName="currentassets13" ref="B6:H9" headerRowCount="0" totalsRowCount="1" headerRowDxfId="268" totalsRowDxfId="267">
  <sortState xmlns:xlrd2="http://schemas.microsoft.com/office/spreadsheetml/2017/richdata2" ref="B6:H8">
    <sortCondition descending="1" ref="C5:C8"/>
  </sortState>
  <tableColumns count="7">
    <tableColumn id="1" xr3:uid="{9743D835-C930-4C6D-AA24-A399339843E9}" name="Actifs" totalsRowLabel="Total liquidité" headerRowDxfId="266" dataDxfId="265" totalsRowDxfId="264"/>
    <tableColumn id="2" xr3:uid="{EBF67855-07E1-4300-BDC2-5BF51882FACF}" name="Colonne1" totalsRowFunction="custom" headerRowDxfId="263" dataDxfId="262" totalsRowDxfId="261">
      <totalsRowFormula>SUM(C6:C8)</totalsRowFormula>
    </tableColumn>
    <tableColumn id="3" xr3:uid="{CBDE718E-3CBA-444C-9BC7-6E9755881E49}" name="Colonne2" totalsRowFunction="custom" headerRowDxfId="260" dataDxfId="259" totalsRowDxfId="258">
      <totalsRowFormula>SUM(D6:D8)</totalsRowFormula>
    </tableColumn>
    <tableColumn id="6" xr3:uid="{41A216E9-ED56-4B7D-A9C2-738492184F0B}" name="Colonne3" totalsRowFunction="custom" headerRowDxfId="257" dataDxfId="256" totalsRowDxfId="255">
      <totalsRowFormula>SUM(E6:E8)</totalsRowFormula>
    </tableColumn>
    <tableColumn id="7" xr3:uid="{47540607-BF3F-4B4D-A869-6CFEE0E42C33}" name="Colonne4" totalsRowFunction="custom" headerRowDxfId="254" dataDxfId="253" totalsRowDxfId="252">
      <totalsRowFormula>SUM(F6:F8)</totalsRowFormula>
    </tableColumn>
    <tableColumn id="8" xr3:uid="{6F129AF0-AEF7-4D5D-88CA-B0B7AB47CD3E}" name="Colonne5" totalsRowFunction="custom" headerRowDxfId="251" dataDxfId="250" totalsRowDxfId="249">
      <totalsRowFormula>SUM(G6:G8)</totalsRowFormula>
    </tableColumn>
    <tableColumn id="9" xr3:uid="{B83ECA26-D659-4864-BBBA-2A9B7A11ECFE}" name="Colonne6" totalsRowFunction="custom" headerRowDxfId="248" dataDxfId="247" totalsRowDxfId="246">
      <totalsRowFormula>SUM(H6:H8)</totalsRowFormula>
    </tableColumn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993EC50-363E-4983-B20C-410959D9A625}" name="otherassets814" displayName="otherassets814" ref="B26:H29" headerRowCount="0" totalsRowCount="1" headerRowDxfId="245" totalsRowDxfId="244">
  <tableColumns count="7">
    <tableColumn id="1" xr3:uid="{8614B3D9-2C17-4A69-BA7E-2A349082FFCE}" name="Capitaux propres" totalsRowLabel="Total capitaux propres" headerRowDxfId="243" dataDxfId="242" totalsRowDxfId="241">
      <calculatedColumnFormula>+#REF!</calculatedColumnFormula>
    </tableColumn>
    <tableColumn id="2" xr3:uid="{593722EA-8FAF-4844-A7CA-7606B9581857}" name="Colonne1" totalsRowFunction="custom" headerRowDxfId="240" dataDxfId="239" totalsRowDxfId="238">
      <totalsRowFormula>SUM(C26:C28)</totalsRowFormula>
    </tableColumn>
    <tableColumn id="3" xr3:uid="{AAAC06EE-E36E-445D-A167-EC5D0CF280D6}" name="Colonne2" totalsRowFunction="custom" headerRowDxfId="237" dataDxfId="236" totalsRowDxfId="235">
      <totalsRowFormula>SUM(D26:D28)</totalsRowFormula>
    </tableColumn>
    <tableColumn id="4" xr3:uid="{67991122-68E4-4C29-B2D2-8EEBF692A9C1}" name="Colonne3" totalsRowFunction="custom" headerRowDxfId="234" dataDxfId="233" totalsRowDxfId="232">
      <totalsRowFormula>SUM(E26:E28)</totalsRowFormula>
    </tableColumn>
    <tableColumn id="5" xr3:uid="{F23AAE92-0AA5-4828-A36D-260308A742FE}" name="Colonne4" totalsRowFunction="custom" headerRowDxfId="231" dataDxfId="230" totalsRowDxfId="229">
      <totalsRowFormula>SUM(F26:F28)</totalsRowFormula>
    </tableColumn>
    <tableColumn id="6" xr3:uid="{DA297956-F7C9-4BD1-95A7-05139BFDA35D}" name="Colonne5" totalsRowFunction="custom" headerRowDxfId="228" dataDxfId="227" totalsRowDxfId="226">
      <totalsRowFormula>SUM(G26:G28)</totalsRowFormula>
    </tableColumn>
    <tableColumn id="7" xr3:uid="{DC5B9000-445B-4101-B789-9008DA80E31A}" name="Colonne6" totalsRowFunction="custom" headerRowDxfId="225" dataDxfId="224" totalsRowDxfId="223">
      <totalsRowFormula>SUM(H26:H28)</totalsRowFormula>
    </tableColumn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4F36936-26DF-48A3-B97A-C2779F3F519C}" name="fixedassets915" displayName="fixedassets915" ref="B12:H17" headerRowCount="0" totalsRowCount="1" headerRowDxfId="222" totalsRowDxfId="221">
  <sortState xmlns:xlrd2="http://schemas.microsoft.com/office/spreadsheetml/2017/richdata2" ref="B12:H16">
    <sortCondition ref="C11:C16"/>
  </sortState>
  <tableColumns count="7">
    <tableColumn id="1" xr3:uid="{090E0B18-224B-4795-B7F4-E34F083AAAF4}" name="Épargnes et placement" totalsRowLabel="Total épargnes et placements" headerRowDxfId="220" dataDxfId="219" totalsRowDxfId="218"/>
    <tableColumn id="2" xr3:uid="{BFC8B627-563D-4CF8-9F2B-360D4B5CFBF1}" name="Colonne1" totalsRowFunction="custom" headerRowDxfId="217" dataDxfId="216" totalsRowDxfId="215">
      <totalsRowFormula>SUM(C12:C16)</totalsRowFormula>
    </tableColumn>
    <tableColumn id="3" xr3:uid="{0A4D397C-984C-4E59-A2AD-557CFB81082C}" name="Colonne2" totalsRowFunction="custom" headerRowDxfId="214" dataDxfId="213" totalsRowDxfId="212">
      <totalsRowFormula>SUM(D12:D16)</totalsRowFormula>
    </tableColumn>
    <tableColumn id="4" xr3:uid="{D831D6AE-FC30-4630-B6F8-E66F351D0B89}" name="Colonne3" totalsRowFunction="custom" headerRowDxfId="211" dataDxfId="210" totalsRowDxfId="209">
      <totalsRowFormula>SUM(E12:E16)</totalsRowFormula>
    </tableColumn>
    <tableColumn id="5" xr3:uid="{A94C3CA7-4DCC-4E22-9C34-1AD7739D4DDE}" name="Colonne4" totalsRowFunction="custom" headerRowDxfId="208" dataDxfId="207" totalsRowDxfId="206">
      <totalsRowFormula>SUM(F12:F16)</totalsRowFormula>
    </tableColumn>
    <tableColumn id="6" xr3:uid="{54B36F59-3C38-4785-9B68-B341340B18D4}" name="Colonne5" totalsRowFunction="custom" headerRowDxfId="205" dataDxfId="204" totalsRowDxfId="203">
      <totalsRowFormula>SUM(G12:G16)</totalsRowFormula>
    </tableColumn>
    <tableColumn id="7" xr3:uid="{4516B908-3601-4D18-92B1-34369065732C}" name="Colonne6" totalsRowFunction="custom" headerRowDxfId="202" dataDxfId="201" totalsRowDxfId="200">
      <totalsRowFormula>SUM(H12:H16)</totalsRowFormula>
    </tableColumn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B63FA1E-C943-42D1-8D19-9B698BFB21EC}" name="fixedassets716" displayName="fixedassets716" ref="B20:H23" headerRowCount="0" totalsRowCount="1" headerRowDxfId="193" totalsRowDxfId="191" headerRowBorderDxfId="192">
  <tableColumns count="7">
    <tableColumn id="1" xr3:uid="{4BE694C8-5DC5-4189-9FB9-04EF211FCED2}" name="Actifs" totalsRowLabel="Total immobilisations" headerRowDxfId="190" dataDxfId="189" totalsRowDxfId="188"/>
    <tableColumn id="2" xr3:uid="{C83D0A73-80DA-4120-AE1D-0E8AA350DEF3}" name="Colonne1" totalsRowFunction="custom" headerRowDxfId="187" dataDxfId="186" totalsRowDxfId="185">
      <totalsRowFormula>SUM(C20:C22)</totalsRowFormula>
    </tableColumn>
    <tableColumn id="3" xr3:uid="{4E6E3745-4E94-4CCA-8C31-73B0F6EA5873}" name="Colonne2" totalsRowFunction="custom" headerRowDxfId="184" dataDxfId="183" totalsRowDxfId="182">
      <totalsRowFormula>SUM(D20:D22)</totalsRowFormula>
    </tableColumn>
    <tableColumn id="4" xr3:uid="{594F70AB-0C4F-4F58-9A64-DE3C97FB2659}" name="Colonne3" totalsRowFunction="custom" headerRowDxfId="181" dataDxfId="180" totalsRowDxfId="179">
      <totalsRowFormula>SUM(E20:E22)</totalsRowFormula>
    </tableColumn>
    <tableColumn id="5" xr3:uid="{8AFA9D66-A45F-457A-A6A9-127164144C75}" name="Colonne4" totalsRowFunction="custom" headerRowDxfId="178" dataDxfId="177" totalsRowDxfId="176">
      <totalsRowFormula>SUM(F20:F22)</totalsRowFormula>
    </tableColumn>
    <tableColumn id="6" xr3:uid="{4A237CEA-0D94-489D-B142-6BF1F8BD4996}" name="Colonne5" totalsRowFunction="custom" headerRowDxfId="175" dataDxfId="174" totalsRowDxfId="173">
      <totalsRowFormula>SUM(G20:G22)</totalsRowFormula>
    </tableColumn>
    <tableColumn id="7" xr3:uid="{192EFB73-043C-4641-827D-3F8EC71F9D7C}" name="Colonne6" totalsRowFunction="custom" headerRowDxfId="172" dataDxfId="171" totalsRowDxfId="170">
      <totalsRowFormula>SUM(H20:H22)</totalsRowFormula>
    </tableColumn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21110A9-7ABC-4E7D-BED6-84F4F2A680B0}" name="otherassets1017" displayName="otherassets1017" ref="B32:H35" headerRowCount="0" totalsRowCount="1" headerRowDxfId="169" totalsRowDxfId="168">
  <tableColumns count="7">
    <tableColumn id="1" xr3:uid="{33A20586-56F8-402E-9FB7-A1474B3F67F2}" name="Autres actifs :" totalsRowLabel="Total autres actifs" headerRowDxfId="167" dataDxfId="166" totalsRowDxfId="165"/>
    <tableColumn id="2" xr3:uid="{A5385967-F3F6-4EC3-9700-DACE75116EA5}" name="Colonne1" totalsRowFunction="custom" headerRowDxfId="164" dataDxfId="163" totalsRowDxfId="162">
      <totalsRowFormula>SUM(C32:C34)</totalsRowFormula>
    </tableColumn>
    <tableColumn id="3" xr3:uid="{28F83551-06B2-4FA7-90B2-20E66143CE8A}" name="Colonne2" totalsRowFunction="custom" headerRowDxfId="161" dataDxfId="160" totalsRowDxfId="159">
      <totalsRowFormula>SUM(D32:D34)</totalsRowFormula>
    </tableColumn>
    <tableColumn id="4" xr3:uid="{38845F9B-F76E-499F-9E7B-6853456EEADC}" name="Colonne3" totalsRowFunction="custom" headerRowDxfId="158" dataDxfId="157" totalsRowDxfId="156">
      <totalsRowFormula>SUM(E32:E34)</totalsRowFormula>
    </tableColumn>
    <tableColumn id="5" xr3:uid="{36213096-E30B-4996-A50C-CAF53C686F75}" name="Colonne4" totalsRowFunction="custom" headerRowDxfId="155" dataDxfId="154" totalsRowDxfId="153">
      <totalsRowFormula>SUM(F32:F34)</totalsRowFormula>
    </tableColumn>
    <tableColumn id="6" xr3:uid="{ADA8A672-7DDE-48F2-B7B4-E122F8121F08}" name="Colonne5" totalsRowFunction="custom" headerRowDxfId="152" dataDxfId="151" totalsRowDxfId="150">
      <totalsRowFormula>SUM(G32:G34)</totalsRowFormula>
    </tableColumn>
    <tableColumn id="7" xr3:uid="{46C89542-DB33-4412-A765-75AE06001419}" name="Colonne6" totalsRowFunction="custom" headerRowDxfId="149" dataDxfId="148" totalsRowDxfId="147">
      <totalsRowFormula>SUM(H32:H34)</totalsRowFormula>
    </tableColumn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77C5B2D-C57C-4ED2-9D9F-4839F9F343E0}" name="currentliabilities1118" displayName="currentliabilities1118" ref="B41:H46" headerRowCount="0" totalsRowCount="1" headerRowDxfId="146" totalsRowDxfId="145">
  <tableColumns count="7">
    <tableColumn id="1" xr3:uid="{9717AA78-0E61-4ECC-92F8-7E1544CA3E1E}" name="Passif exigible :" totalsRowLabel="Total du passif court terme" headerRowDxfId="144" dataDxfId="143" totalsRowDxfId="142"/>
    <tableColumn id="2" xr3:uid="{0220E7FD-38BA-4E6F-BE68-FADB94B4CE39}" name="Colonne1" totalsRowFunction="custom" headerRowDxfId="141" dataDxfId="140" totalsRowDxfId="139">
      <totalsRowFormula>SUM(C41:C45)</totalsRowFormula>
    </tableColumn>
    <tableColumn id="3" xr3:uid="{EF042334-D391-4C3D-8D49-15B642DEC9B7}" name="Colonne2" totalsRowFunction="custom" headerRowDxfId="138" dataDxfId="137" totalsRowDxfId="136">
      <totalsRowFormula>SUM(D41:D45)</totalsRowFormula>
    </tableColumn>
    <tableColumn id="4" xr3:uid="{3D473DB9-F853-4A44-A94C-B961255BC315}" name="Colonne3" totalsRowFunction="custom" headerRowDxfId="135" dataDxfId="134" totalsRowDxfId="133">
      <totalsRowFormula>SUM(E41:E45)</totalsRowFormula>
    </tableColumn>
    <tableColumn id="5" xr3:uid="{6C50C331-3FA4-4DE9-9894-D8824F600511}" name="Colonne4" totalsRowFunction="custom" headerRowDxfId="132" dataDxfId="131" totalsRowDxfId="130">
      <totalsRowFormula>SUM(F41:F45)</totalsRowFormula>
    </tableColumn>
    <tableColumn id="6" xr3:uid="{06CB964D-D63E-4FB8-A808-A747AB78AB10}" name="Colonne5" totalsRowFunction="custom" headerRowDxfId="129" dataDxfId="128" totalsRowDxfId="127">
      <totalsRowFormula>SUM(G41:G45)</totalsRowFormula>
    </tableColumn>
    <tableColumn id="7" xr3:uid="{6E2D64DA-E9A2-4E60-9868-E963299C0CD6}" name="Colonne6" totalsRowFunction="custom" headerRowDxfId="126" dataDxfId="125" totalsRowDxfId="124">
      <totalsRowFormula>SUM(H41:H45)</totalsRowFormula>
    </tableColumn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75F8B34-41D7-4288-A344-E9852D18CD7D}" name="currentassets2719" displayName="currentassets2719" ref="B17:H25" headerRowCount="0" totalsRowCount="1" headerRowDxfId="566" dataDxfId="565" totalsRowDxfId="564">
  <sortState xmlns:xlrd2="http://schemas.microsoft.com/office/spreadsheetml/2017/richdata2" ref="B17:H19">
    <sortCondition descending="1" ref="C5:C8"/>
  </sortState>
  <tableColumns count="7">
    <tableColumn id="1" xr3:uid="{586CFF94-92EE-415F-9013-4DDD0A8FADD4}" name="Actifs" headerRowDxfId="563" dataDxfId="562" totalsRowDxfId="561"/>
    <tableColumn id="2" xr3:uid="{85785223-C0F9-4261-9404-A39C52D2FD48}" name="Colonne1" headerRowDxfId="560" dataDxfId="559" totalsRowDxfId="558"/>
    <tableColumn id="3" xr3:uid="{E9DF60E4-3B77-4833-B29C-F68FD7ACA5E0}" name="Colonne2" headerRowDxfId="557" dataDxfId="556" totalsRowDxfId="555"/>
    <tableColumn id="6" xr3:uid="{8DE6C3F7-D66B-42B7-AB91-A5E3E8EEB47A}" name="Colonne3" headerRowDxfId="554" dataDxfId="553" totalsRowDxfId="552"/>
    <tableColumn id="7" xr3:uid="{26ABB30B-D715-40D9-A3FA-C76F33F96929}" name="Colonne4" headerRowDxfId="551" dataDxfId="550" totalsRowDxfId="549"/>
    <tableColumn id="8" xr3:uid="{F61B1C06-6ABE-46EF-84FB-6AC26AD1C478}" name="Colonne5" headerRowDxfId="548" dataDxfId="547" totalsRowDxfId="546"/>
    <tableColumn id="9" xr3:uid="{40673C80-AACA-4D3B-97A4-DC0EEAF6D146}" name="Colonne6" headerRowDxfId="545" dataDxfId="544" totalsRowDxfId="543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E98339C-42F4-4D49-ADA4-CA7A0E290605}" name="longtermliabilities1220" displayName="longtermliabilities1220" ref="B49:H52" headerRowCount="0" totalsRowCount="1" headerRowDxfId="123" totalsRowDxfId="122">
  <tableColumns count="7">
    <tableColumn id="1" xr3:uid="{92DA3F97-1E76-4BC6-B520-813188AC05AD}" name="Dettes à long terme :" totalsRowLabel="Total dettes à long terme" headerRowDxfId="121" dataDxfId="120" totalsRowDxfId="119"/>
    <tableColumn id="2" xr3:uid="{258E2338-3ED1-45CB-A5B0-3DC5DA54C88F}" name="Colonne1" totalsRowFunction="custom" headerRowDxfId="118" dataDxfId="117" totalsRowDxfId="116">
      <totalsRowFormula>SUM(C49:C51)</totalsRowFormula>
    </tableColumn>
    <tableColumn id="3" xr3:uid="{30084C49-9CBF-4B1C-8075-656C3E74F0A2}" name="Colonne2" totalsRowFunction="custom" headerRowDxfId="115" dataDxfId="114" totalsRowDxfId="113">
      <totalsRowFormula>SUM(D49:D51)</totalsRowFormula>
    </tableColumn>
    <tableColumn id="4" xr3:uid="{3298BDAE-492B-49FB-B0AD-7C8B6E96ED49}" name="Colonne3" totalsRowFunction="custom" headerRowDxfId="112" dataDxfId="111" totalsRowDxfId="110">
      <totalsRowFormula>SUM(E49:E51)</totalsRowFormula>
    </tableColumn>
    <tableColumn id="5" xr3:uid="{33D33C19-2992-4A4B-9C5F-932FA689B7D9}" name="Colonne4" totalsRowFunction="custom" headerRowDxfId="109" dataDxfId="108" totalsRowDxfId="107">
      <totalsRowFormula>SUM(F49:F51)</totalsRowFormula>
    </tableColumn>
    <tableColumn id="6" xr3:uid="{E564EB65-9775-4720-A19F-76FE24B3F360}" name="Colonne5" totalsRowFunction="custom" headerRowDxfId="106" dataDxfId="105" totalsRowDxfId="104">
      <totalsRowFormula>SUM(G49:G51)</totalsRowFormula>
    </tableColumn>
    <tableColumn id="7" xr3:uid="{1FCB1333-A8A0-4F32-87FC-F6E3D8D2DECE}" name="Colonne6" totalsRowFunction="custom" headerRowDxfId="103" dataDxfId="102" totalsRowDxfId="101">
      <totalsRowFormula>SUM(H49:H51)</totalsRowFormula>
    </tableColumn>
  </tableColumns>
  <tableStyleInfo name="TableStyleMedium10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46D8378-646C-4294-A3BB-D15102386C5F}" name="currentassets1321" displayName="currentassets1321" ref="B6:H9" headerRowCount="0" totalsRowCount="1" headerRowDxfId="100" totalsRowDxfId="99">
  <sortState xmlns:xlrd2="http://schemas.microsoft.com/office/spreadsheetml/2017/richdata2" ref="B6:H8">
    <sortCondition descending="1" ref="C5:C8"/>
  </sortState>
  <tableColumns count="7">
    <tableColumn id="1" xr3:uid="{903C7423-9ACB-46A4-AFBD-07AC043A46B8}" name="Actifs" totalsRowLabel="Total liquidité" headerRowDxfId="98" dataDxfId="97" totalsRowDxfId="96"/>
    <tableColumn id="2" xr3:uid="{AC6A5266-F557-43A2-A5AF-4462FC346C9C}" name="Colonne1" totalsRowFunction="custom" headerRowDxfId="95" dataDxfId="94" totalsRowDxfId="93">
      <totalsRowFormula>SUM(C6:C8)</totalsRowFormula>
    </tableColumn>
    <tableColumn id="3" xr3:uid="{F86990D3-FC9F-4263-85A6-0CF1CDA7A343}" name="Colonne2" totalsRowFunction="custom" headerRowDxfId="92" dataDxfId="91" totalsRowDxfId="90">
      <totalsRowFormula>SUM(D6:D8)</totalsRowFormula>
    </tableColumn>
    <tableColumn id="6" xr3:uid="{F7B47F2A-A7F4-4252-A032-802D4FA6ED19}" name="Colonne3" totalsRowFunction="custom" headerRowDxfId="89" dataDxfId="88" totalsRowDxfId="87">
      <totalsRowFormula>SUM(E6:E8)</totalsRowFormula>
    </tableColumn>
    <tableColumn id="7" xr3:uid="{EB163B90-71AE-481C-A211-4423884AE9FE}" name="Colonne4" totalsRowFunction="custom" headerRowDxfId="86" dataDxfId="85" totalsRowDxfId="84">
      <totalsRowFormula>SUM(F6:F8)</totalsRowFormula>
    </tableColumn>
    <tableColumn id="8" xr3:uid="{FC40E313-F1B0-46F2-8393-EF880E8EA2A3}" name="Colonne5" totalsRowFunction="custom" headerRowDxfId="83" dataDxfId="82" totalsRowDxfId="81">
      <totalsRowFormula>SUM(G6:G8)</totalsRowFormula>
    </tableColumn>
    <tableColumn id="9" xr3:uid="{3A22C889-6F0D-4873-BEA0-03C4FC0B6F3A}" name="Colonne6" totalsRowFunction="custom" headerRowDxfId="80" dataDxfId="79" totalsRowDxfId="78">
      <totalsRowFormula>SUM(H6:H8)</totalsRowFormula>
    </tableColumn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EF59495-223E-42C7-91FA-BE1740137362}" name="otherassets81422" displayName="otherassets81422" ref="B26:H29" headerRowCount="0" totalsRowCount="1" headerRowDxfId="77" totalsRowDxfId="76">
  <tableColumns count="7">
    <tableColumn id="1" xr3:uid="{71D3B992-9043-4A49-9622-43809D1567ED}" name="Capitaux propres" totalsRowLabel="Total capitaux propres" headerRowDxfId="75" dataDxfId="74" totalsRowDxfId="73"/>
    <tableColumn id="2" xr3:uid="{486D6E71-45E7-4241-87C2-8658D7724800}" name="Colonne1" totalsRowFunction="custom" headerRowDxfId="72" dataDxfId="71" totalsRowDxfId="70">
      <totalsRowFormula>SUM(C26:C28)</totalsRowFormula>
    </tableColumn>
    <tableColumn id="3" xr3:uid="{CAA9293D-F446-4DF4-ABAE-60F475D25E9F}" name="Colonne2" totalsRowFunction="custom" headerRowDxfId="69" dataDxfId="68" totalsRowDxfId="67">
      <totalsRowFormula>SUM(D26:D28)</totalsRowFormula>
    </tableColumn>
    <tableColumn id="4" xr3:uid="{32192437-A290-4BB6-AB78-4C666E469B9F}" name="Colonne3" totalsRowFunction="custom" headerRowDxfId="66" dataDxfId="65" totalsRowDxfId="64">
      <totalsRowFormula>SUM(E26:E28)</totalsRowFormula>
    </tableColumn>
    <tableColumn id="5" xr3:uid="{E382B5F9-91D0-42E5-9160-D59C3C7645A3}" name="Colonne4" totalsRowFunction="custom" headerRowDxfId="63" dataDxfId="62" totalsRowDxfId="61">
      <totalsRowFormula>SUM(F26:F28)</totalsRowFormula>
    </tableColumn>
    <tableColumn id="6" xr3:uid="{192C95FE-4876-4EB8-8248-D8A161D7BD26}" name="Colonne5" totalsRowFunction="custom" headerRowDxfId="60" dataDxfId="59" totalsRowDxfId="58">
      <totalsRowFormula>SUM(G26:G28)</totalsRowFormula>
    </tableColumn>
    <tableColumn id="7" xr3:uid="{0CD197F5-7E03-4A61-9622-08B60D356DE8}" name="Colonne6" totalsRowFunction="custom" headerRowDxfId="57" dataDxfId="56" totalsRowDxfId="55">
      <totalsRowFormula>SUM(H26:H28)</totalsRowFormula>
    </tableColumn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B4325E0-37AE-492D-84BA-F546CFBA035D}" name="fixedassets91523" displayName="fixedassets91523" ref="B12:H17" headerRowCount="0" totalsRowCount="1" headerRowDxfId="54" totalsRowDxfId="53">
  <sortState xmlns:xlrd2="http://schemas.microsoft.com/office/spreadsheetml/2017/richdata2" ref="B12:H16">
    <sortCondition ref="C11:C16"/>
  </sortState>
  <tableColumns count="7">
    <tableColumn id="1" xr3:uid="{35EF67C8-760F-44E9-BA2A-AA274A4099A3}" name="Épargnes et placement" totalsRowLabel="Total épargnes et placements" headerRowDxfId="52" dataDxfId="51" totalsRowDxfId="50"/>
    <tableColumn id="2" xr3:uid="{76338936-454D-479C-83B6-5B18C455EEA1}" name="Colonne1" totalsRowFunction="custom" headerRowDxfId="49" dataDxfId="48" totalsRowDxfId="47">
      <totalsRowFormula>SUM(C12:C16)</totalsRowFormula>
    </tableColumn>
    <tableColumn id="3" xr3:uid="{F275939D-5985-4F44-9C50-A709D64AE079}" name="Colonne2" totalsRowFunction="custom" headerRowDxfId="46" dataDxfId="45" totalsRowDxfId="44">
      <totalsRowFormula>SUM(D12:D16)</totalsRowFormula>
    </tableColumn>
    <tableColumn id="4" xr3:uid="{28E22DF6-FDE6-4C15-A1AF-4DB3917837F7}" name="Colonne3" totalsRowFunction="custom" headerRowDxfId="43" dataDxfId="42" totalsRowDxfId="41">
      <totalsRowFormula>SUM(E12:E16)</totalsRowFormula>
    </tableColumn>
    <tableColumn id="5" xr3:uid="{5374D2EA-10C4-40BB-A0ED-E2CD47B7DF63}" name="Colonne4" totalsRowFunction="custom" headerRowDxfId="40" dataDxfId="39" totalsRowDxfId="38">
      <totalsRowFormula>SUM(F12:F16)</totalsRowFormula>
    </tableColumn>
    <tableColumn id="6" xr3:uid="{E4F694E3-F797-4375-8629-62A09BC16CDD}" name="Colonne5" totalsRowFunction="custom" headerRowDxfId="37" dataDxfId="36" totalsRowDxfId="35">
      <totalsRowFormula>SUM(G12:G16)</totalsRowFormula>
    </tableColumn>
    <tableColumn id="7" xr3:uid="{D7148285-112D-4B39-9B76-308528C70D27}" name="Colonne6" totalsRowFunction="custom" headerRowDxfId="34" dataDxfId="33" totalsRowDxfId="32">
      <totalsRowFormula>SUM(H12:H16)</totalsRowFormula>
    </tableColumn>
  </tableColumns>
  <tableStyleInfo name="TableStyleMedium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8B1A735-505D-4873-9D8A-ED8134366856}" name="Tableau3626" displayName="Tableau3626" ref="A5:F377" totalsRowShown="0" headerRowDxfId="7" dataDxfId="6">
  <autoFilter ref="A5:F377" xr:uid="{00000000-0009-0000-0100-000005000000}"/>
  <tableColumns count="6">
    <tableColumn id="1" xr3:uid="{8115B22A-8630-4390-9235-0EE8BC48A3A3}" name="Période" dataDxfId="5"/>
    <tableColumn id="2" xr3:uid="{2BBD21C8-A1BE-4174-BDF5-95D73971DC39}" name="Solde début période" dataDxfId="4">
      <calculatedColumnFormula>F5</calculatedColumnFormula>
    </tableColumn>
    <tableColumn id="3" xr3:uid="{DEA5F2B3-FA6F-430E-AF7C-E09852534156}" name="Paiement" dataDxfId="3">
      <calculatedColumnFormula>IF(ROUND(Tableau3626[[#This Row],[Solde début période]],2)&lt;=0,0,$D$2)</calculatedColumnFormula>
    </tableColumn>
    <tableColumn id="4" xr3:uid="{03F229AA-4A8A-44AC-819F-8B70291A9996}" name="Intérêt" dataDxfId="2">
      <calculatedColumnFormula>B6*($B$2/12)</calculatedColumnFormula>
    </tableColumn>
    <tableColumn id="5" xr3:uid="{3756B94B-827F-4B3C-A154-4394350C1EFC}" name="Capital Remb." dataDxfId="1">
      <calculatedColumnFormula>C6-D6</calculatedColumnFormula>
    </tableColumn>
    <tableColumn id="6" xr3:uid="{9B5CE455-2942-4C37-883B-DE7D92E449AE}" name="Solde fin période" dataDxfId="0">
      <calculatedColumnFormula>B6-E6</calculatedColumnFormula>
    </tableColumn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fixedassets" displayName="fixedassets" ref="B19:H22" headerRowCount="0" totalsRowCount="1" headerRowDxfId="536" dataDxfId="534" totalsRowDxfId="533" headerRowBorderDxfId="535">
  <tableColumns count="7">
    <tableColumn id="1" xr3:uid="{00000000-0010-0000-0000-000001000000}" name="Actifs" totalsRowLabel="Total immobilisations" headerRowDxfId="532" dataDxfId="531" totalsRowDxfId="530"/>
    <tableColumn id="2" xr3:uid="{00000000-0010-0000-0000-000002000000}" name="Colonne1" totalsRowFunction="custom" headerRowDxfId="529" dataDxfId="528" totalsRowDxfId="527">
      <totalsRowFormula>SUM(C19:C21)</totalsRowFormula>
    </tableColumn>
    <tableColumn id="3" xr3:uid="{00000000-0010-0000-0000-000003000000}" name="Colonne2" totalsRowFunction="custom" headerRowDxfId="526" dataDxfId="525" totalsRowDxfId="524">
      <totalsRowFormula>SUM(D19:D21)</totalsRowFormula>
    </tableColumn>
    <tableColumn id="4" xr3:uid="{00000000-0010-0000-0000-000004000000}" name="Colonne3" totalsRowFunction="custom" headerRowDxfId="523" dataDxfId="522" totalsRowDxfId="521">
      <totalsRowFormula>SUM(E19:E21)</totalsRowFormula>
    </tableColumn>
    <tableColumn id="5" xr3:uid="{00000000-0010-0000-0000-000005000000}" name="Colonne4" totalsRowFunction="custom" headerRowDxfId="520" dataDxfId="519" totalsRowDxfId="518">
      <totalsRowFormula>SUM(F19:F21)</totalsRowFormula>
    </tableColumn>
    <tableColumn id="6" xr3:uid="{00000000-0010-0000-0000-000006000000}" name="Colonne5" totalsRowFunction="custom" headerRowDxfId="517" dataDxfId="516" totalsRowDxfId="515">
      <totalsRowFormula>SUM(G19:G21)</totalsRowFormula>
    </tableColumn>
    <tableColumn id="7" xr3:uid="{00000000-0010-0000-0000-000007000000}" name="Colonne6" totalsRowFunction="custom" headerRowDxfId="514" dataDxfId="513" totalsRowDxfId="512">
      <totalsRowFormula>SUM(H19:H21)</totalsRow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otherassets" displayName="otherassets" ref="B31:H34" headerRowCount="0" totalsRowCount="1" headerRowDxfId="511" dataDxfId="510" totalsRowDxfId="509">
  <tableColumns count="7">
    <tableColumn id="1" xr3:uid="{00000000-0010-0000-0100-000001000000}" name="Autres actifs :" totalsRowLabel="Total autres actifs" headerRowDxfId="508" dataDxfId="507" totalsRowDxfId="506"/>
    <tableColumn id="2" xr3:uid="{00000000-0010-0000-0100-000002000000}" name="Colonne1" totalsRowFunction="custom" headerRowDxfId="505" dataDxfId="504" totalsRowDxfId="503">
      <totalsRowFormula>SUM(C31:C33)</totalsRowFormula>
    </tableColumn>
    <tableColumn id="3" xr3:uid="{00000000-0010-0000-0100-000003000000}" name="Colonne2" totalsRowFunction="custom" headerRowDxfId="502" dataDxfId="501" totalsRowDxfId="500">
      <totalsRowFormula>SUM(D31:D33)</totalsRowFormula>
    </tableColumn>
    <tableColumn id="4" xr3:uid="{00000000-0010-0000-0100-000004000000}" name="Colonne3" totalsRowFunction="custom" headerRowDxfId="499" dataDxfId="498" totalsRowDxfId="497">
      <totalsRowFormula>SUM(E31:E33)</totalsRowFormula>
    </tableColumn>
    <tableColumn id="5" xr3:uid="{00000000-0010-0000-0100-000005000000}" name="Colonne4" totalsRowFunction="custom" headerRowDxfId="496" dataDxfId="495" totalsRowDxfId="494">
      <totalsRowFormula>SUM(F31:F33)</totalsRowFormula>
    </tableColumn>
    <tableColumn id="6" xr3:uid="{00000000-0010-0000-0100-000006000000}" name="Colonne5" totalsRowFunction="custom" headerRowDxfId="493" dataDxfId="492" totalsRowDxfId="491">
      <totalsRowFormula>SUM(G31:G33)</totalsRowFormula>
    </tableColumn>
    <tableColumn id="7" xr3:uid="{00000000-0010-0000-0100-000007000000}" name="Colonne6" totalsRowFunction="custom" headerRowDxfId="490" dataDxfId="489" totalsRowDxfId="488">
      <totalsRowFormula>SUM(H31:H33)</totalsRow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currentliabilities" displayName="currentliabilities" ref="B40:H46" headerRowCount="0" totalsRowCount="1" headerRowDxfId="487" dataDxfId="486" totalsRowDxfId="485">
  <tableColumns count="7">
    <tableColumn id="1" xr3:uid="{00000000-0010-0000-0200-000001000000}" name="Passif exigible :" totalsRowLabel="Total du passif court terme" headerRowDxfId="484" dataDxfId="483" totalsRowDxfId="482"/>
    <tableColumn id="2" xr3:uid="{00000000-0010-0000-0200-000002000000}" name="Colonne1" totalsRowFunction="custom" headerRowDxfId="481" dataDxfId="480" totalsRowDxfId="479" dataCellStyle="Monétaire">
      <totalsRowFormula>SUM(C40:C45)</totalsRowFormula>
    </tableColumn>
    <tableColumn id="3" xr3:uid="{00000000-0010-0000-0200-000003000000}" name="Colonne2" totalsRowFunction="custom" headerRowDxfId="478" dataDxfId="477" totalsRowDxfId="476" dataCellStyle="Monétaire">
      <totalsRowFormula>SUM(D40:D45)</totalsRowFormula>
    </tableColumn>
    <tableColumn id="4" xr3:uid="{00000000-0010-0000-0200-000004000000}" name="Colonne3" totalsRowFunction="custom" headerRowDxfId="475" dataDxfId="474" totalsRowDxfId="473" dataCellStyle="Monétaire">
      <totalsRowFormula>SUM(E40:E45)</totalsRowFormula>
    </tableColumn>
    <tableColumn id="5" xr3:uid="{00000000-0010-0000-0200-000005000000}" name="Colonne4" totalsRowFunction="custom" headerRowDxfId="472" dataDxfId="471" totalsRowDxfId="470" dataCellStyle="Monétaire">
      <totalsRowFormula>SUM(F40:F45)</totalsRowFormula>
    </tableColumn>
    <tableColumn id="6" xr3:uid="{00000000-0010-0000-0200-000006000000}" name="Colonne5" totalsRowFunction="custom" headerRowDxfId="469" dataDxfId="468" totalsRowDxfId="467" dataCellStyle="Monétaire">
      <totalsRowFormula>SUM(G40:G45)</totalsRowFormula>
    </tableColumn>
    <tableColumn id="7" xr3:uid="{00000000-0010-0000-0200-000007000000}" name="Colonne6" totalsRowFunction="custom" headerRowDxfId="466" dataDxfId="465" totalsRowDxfId="464" dataCellStyle="Monétaire">
      <totalsRowFormula>SUM(H40:H45)</totalsRowFormula>
    </tableColumn>
  </tableColumns>
  <tableStyleInfo name="TableStyleMedium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longtermliabilities" displayName="longtermliabilities" ref="B49:H52" headerRowCount="0" totalsRowCount="1" headerRowDxfId="463" dataDxfId="462" totalsRowDxfId="461">
  <tableColumns count="7">
    <tableColumn id="1" xr3:uid="{00000000-0010-0000-0300-000001000000}" name="Dettes à long terme :" totalsRowLabel="Total dettes à long terme" headerRowDxfId="460" dataDxfId="459" totalsRowDxfId="458"/>
    <tableColumn id="2" xr3:uid="{00000000-0010-0000-0300-000002000000}" name="Colonne1" totalsRowFunction="custom" headerRowDxfId="457" dataDxfId="456" totalsRowDxfId="455">
      <totalsRowFormula>SUM(C49:C51)</totalsRowFormula>
    </tableColumn>
    <tableColumn id="3" xr3:uid="{00000000-0010-0000-0300-000003000000}" name="Colonne2" totalsRowFunction="custom" headerRowDxfId="454" dataDxfId="453" totalsRowDxfId="452">
      <totalsRowFormula>SUM(D49:D51)</totalsRowFormula>
    </tableColumn>
    <tableColumn id="4" xr3:uid="{00000000-0010-0000-0300-000004000000}" name="Colonne3" totalsRowFunction="custom" headerRowDxfId="451" dataDxfId="450" totalsRowDxfId="449">
      <totalsRowFormula>SUM(E49:E51)</totalsRowFormula>
    </tableColumn>
    <tableColumn id="5" xr3:uid="{00000000-0010-0000-0300-000005000000}" name="Colonne4" totalsRowFunction="custom" headerRowDxfId="448" dataDxfId="447" totalsRowDxfId="446">
      <totalsRowFormula>SUM(F49:F51)</totalsRowFormula>
    </tableColumn>
    <tableColumn id="6" xr3:uid="{00000000-0010-0000-0300-000006000000}" name="Colonne5" totalsRowFunction="custom" headerRowDxfId="445" dataDxfId="444" totalsRowDxfId="443">
      <totalsRowFormula>SUM(G49:G51)</totalsRowFormula>
    </tableColumn>
    <tableColumn id="7" xr3:uid="{00000000-0010-0000-0300-000007000000}" name="Colonne6" totalsRowFunction="custom" headerRowDxfId="442" dataDxfId="441" totalsRowDxfId="440">
      <totalsRowFormula>SUM(H49:H51)</totalsRowFormula>
    </tableColumn>
  </tableColumns>
  <tableStyleInfo name="TableStyleMedium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currentassets" displayName="currentassets" ref="B6:H9" headerRowCount="0" totalsRowCount="1" headerRowDxfId="439" dataDxfId="438" totalsRowDxfId="437">
  <sortState xmlns:xlrd2="http://schemas.microsoft.com/office/spreadsheetml/2017/richdata2" ref="B6:H8">
    <sortCondition descending="1" ref="C5:C8"/>
  </sortState>
  <tableColumns count="7">
    <tableColumn id="1" xr3:uid="{00000000-0010-0000-0500-000001000000}" name="Actifs" totalsRowLabel="Total liquidité" headerRowDxfId="436" dataDxfId="435" totalsRowDxfId="434"/>
    <tableColumn id="2" xr3:uid="{00000000-0010-0000-0500-000002000000}" name="Colonne1" totalsRowFunction="custom" headerRowDxfId="433" dataDxfId="432" totalsRowDxfId="431" dataCellStyle="Monétaire">
      <totalsRowFormula>SUM(C6:C8)</totalsRowFormula>
    </tableColumn>
    <tableColumn id="3" xr3:uid="{00000000-0010-0000-0500-000003000000}" name="Colonne2" totalsRowFunction="custom" headerRowDxfId="430" dataDxfId="429" totalsRowDxfId="428" dataCellStyle="Monétaire">
      <totalsRowFormula>SUM(D6:D8)</totalsRowFormula>
    </tableColumn>
    <tableColumn id="6" xr3:uid="{00000000-0010-0000-0500-000006000000}" name="Colonne3" totalsRowFunction="custom" headerRowDxfId="427" dataDxfId="426" totalsRowDxfId="425" dataCellStyle="Monétaire">
      <totalsRowFormula>SUM(E6:E8)</totalsRowFormula>
    </tableColumn>
    <tableColumn id="7" xr3:uid="{00000000-0010-0000-0500-000007000000}" name="Colonne4" totalsRowFunction="custom" headerRowDxfId="424" dataDxfId="423" totalsRowDxfId="422" dataCellStyle="Monétaire">
      <totalsRowFormula>SUM(F6:F8)</totalsRowFormula>
    </tableColumn>
    <tableColumn id="8" xr3:uid="{00000000-0010-0000-0500-000008000000}" name="Colonne5" totalsRowFunction="custom" headerRowDxfId="421" dataDxfId="420" totalsRowDxfId="419" dataCellStyle="Monétaire">
      <totalsRowFormula>SUM(G6:G8)</totalsRowFormula>
    </tableColumn>
    <tableColumn id="9" xr3:uid="{00000000-0010-0000-0500-000009000000}" name="Colonne6" totalsRowFunction="custom" headerRowDxfId="418" dataDxfId="417" totalsRowDxfId="416" dataCellStyle="Monétaire">
      <totalsRowFormula>SUM(H6:H8)</totalsRow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9C2AF8C-F9B0-4BEB-B75B-BD8974828D71}" name="otherassets8" displayName="otherassets8" ref="B25:H28" headerRowCount="0" totalsRowCount="1" headerRowDxfId="415" dataDxfId="414" totalsRowDxfId="413">
  <tableColumns count="7">
    <tableColumn id="1" xr3:uid="{4BD780FE-4E0C-47C7-8063-96A4E5D77540}" name="Capitaux propres" totalsRowLabel="Total capitaux propres" headerRowDxfId="412" dataDxfId="411" totalsRowDxfId="410"/>
    <tableColumn id="2" xr3:uid="{0C23648D-6ED5-4156-B1B5-BB88CA34C20D}" name="Colonne1" totalsRowFunction="custom" headerRowDxfId="409" dataDxfId="408" totalsRowDxfId="407">
      <totalsRowFormula>SUM(C25:C27)</totalsRowFormula>
    </tableColumn>
    <tableColumn id="3" xr3:uid="{97DBCC03-B035-49D8-B825-A879AF8DC208}" name="Colonne2" totalsRowFunction="custom" headerRowDxfId="406" dataDxfId="405" totalsRowDxfId="404">
      <totalsRowFormula>SUM(D25:D27)</totalsRowFormula>
    </tableColumn>
    <tableColumn id="4" xr3:uid="{055DFA64-0BFB-455B-B5F4-8C30C882174B}" name="Colonne3" totalsRowFunction="custom" headerRowDxfId="403" dataDxfId="402" totalsRowDxfId="401">
      <totalsRowFormula>SUM(E25:E27)</totalsRowFormula>
    </tableColumn>
    <tableColumn id="5" xr3:uid="{ADF335E1-2659-45D6-AE26-5DA15BFB4213}" name="Colonne4" totalsRowFunction="custom" headerRowDxfId="400" dataDxfId="399" totalsRowDxfId="398">
      <totalsRowFormula>SUM(F25:F27)</totalsRowFormula>
    </tableColumn>
    <tableColumn id="6" xr3:uid="{930D9E54-5334-4AED-958E-8EF3EDB9642C}" name="Colonne5" totalsRowFunction="custom" headerRowDxfId="397" dataDxfId="396" totalsRowDxfId="395">
      <totalsRowFormula>SUM(G25:G27)</totalsRowFormula>
    </tableColumn>
    <tableColumn id="7" xr3:uid="{BAAE18A3-C756-4058-AA48-7F2EF4BCF841}" name="Colonne6" totalsRowFunction="custom" headerRowDxfId="394" dataDxfId="393" totalsRowDxfId="392">
      <totalsRowFormula>SUM(H25:H27)</totalsRow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97299D1-3581-4B60-88CB-AB10CA48ED14}" name="fixedassets9" displayName="fixedassets9" ref="B12:H16" headerRowCount="0" totalsRowCount="1" headerRowDxfId="391" dataDxfId="390" totalsRowDxfId="389">
  <sortState xmlns:xlrd2="http://schemas.microsoft.com/office/spreadsheetml/2017/richdata2" ref="B12:H15">
    <sortCondition ref="C11:C15"/>
  </sortState>
  <tableColumns count="7">
    <tableColumn id="1" xr3:uid="{5821D548-F35A-44C8-9742-BB3D594AC1EC}" name="Épargnes et placement" totalsRowLabel="Total épargnes et placements" headerRowDxfId="388" dataDxfId="387" totalsRowDxfId="386"/>
    <tableColumn id="2" xr3:uid="{B052F95B-32E4-4C57-AEA5-64507135A0B6}" name="Colonne1" totalsRowFunction="custom" headerRowDxfId="385" dataDxfId="384" totalsRowDxfId="383">
      <totalsRowFormula>SUM(C12:C15)</totalsRowFormula>
    </tableColumn>
    <tableColumn id="3" xr3:uid="{2856809E-0B68-4EB7-87B0-7788496DD220}" name="Colonne2" totalsRowFunction="custom" headerRowDxfId="382" dataDxfId="381" totalsRowDxfId="380">
      <totalsRowFormula>SUM(D12:D15)</totalsRowFormula>
    </tableColumn>
    <tableColumn id="4" xr3:uid="{636F25A2-5A3B-4009-AAAC-F8F4E68D0849}" name="Colonne3" totalsRowFunction="custom" headerRowDxfId="379" dataDxfId="378" totalsRowDxfId="377">
      <totalsRowFormula>SUM(E12:E15)</totalsRowFormula>
    </tableColumn>
    <tableColumn id="5" xr3:uid="{73D949A9-4E14-4987-8665-BB7E45E29957}" name="Colonne4" totalsRowFunction="custom" headerRowDxfId="376" dataDxfId="375" totalsRowDxfId="374">
      <totalsRowFormula>SUM(F12:F15)</totalsRowFormula>
    </tableColumn>
    <tableColumn id="6" xr3:uid="{12033C38-B04F-4FE2-8391-3F6BD4D93309}" name="Colonne5" totalsRowFunction="custom" headerRowDxfId="373" dataDxfId="372" totalsRowDxfId="371">
      <totalsRowFormula>SUM(G12:G15)</totalsRowFormula>
    </tableColumn>
    <tableColumn id="7" xr3:uid="{DB5D7D0C-69A4-485E-AB94-09094FB70751}" name="Colonne6" totalsRowFunction="custom" headerRowDxfId="370" dataDxfId="369" totalsRowDxfId="368">
      <totalsRowFormula>SUM(H12:H15)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20.xml"/><Relationship Id="rId5" Type="http://schemas.openxmlformats.org/officeDocument/2006/relationships/table" Target="../tables/table19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2427D-BFF0-46AE-8B25-5CD9E306174C}">
  <dimension ref="A1:D26"/>
  <sheetViews>
    <sheetView zoomScale="160" zoomScaleNormal="160" workbookViewId="0">
      <selection activeCell="D6" sqref="D6"/>
    </sheetView>
  </sheetViews>
  <sheetFormatPr baseColWidth="10" defaultColWidth="11.42578125" defaultRowHeight="12.75" x14ac:dyDescent="0.2"/>
  <cols>
    <col min="1" max="1" width="25.85546875" customWidth="1"/>
    <col min="2" max="2" width="40.42578125" customWidth="1"/>
  </cols>
  <sheetData>
    <row r="1" spans="1:4" x14ac:dyDescent="0.2">
      <c r="A1" s="61" t="s">
        <v>1</v>
      </c>
      <c r="B1" s="125"/>
      <c r="C1" t="s">
        <v>100</v>
      </c>
      <c r="D1" t="s">
        <v>223</v>
      </c>
    </row>
    <row r="2" spans="1:4" x14ac:dyDescent="0.2">
      <c r="A2" s="61" t="s">
        <v>1</v>
      </c>
      <c r="B2" s="125"/>
      <c r="C2" t="s">
        <v>100</v>
      </c>
      <c r="D2" t="s">
        <v>223</v>
      </c>
    </row>
    <row r="3" spans="1:4" x14ac:dyDescent="0.2">
      <c r="A3" s="61"/>
      <c r="B3" s="125"/>
    </row>
    <row r="4" spans="1:4" x14ac:dyDescent="0.2">
      <c r="A4" s="61" t="s">
        <v>0</v>
      </c>
      <c r="B4" s="125"/>
    </row>
    <row r="5" spans="1:4" x14ac:dyDescent="0.2">
      <c r="A5" s="61" t="s">
        <v>1</v>
      </c>
      <c r="B5" s="125"/>
      <c r="C5" t="s">
        <v>100</v>
      </c>
    </row>
    <row r="6" spans="1:4" x14ac:dyDescent="0.2">
      <c r="A6" s="61" t="s">
        <v>1</v>
      </c>
      <c r="B6" s="125"/>
      <c r="C6" t="s">
        <v>100</v>
      </c>
    </row>
    <row r="7" spans="1:4" x14ac:dyDescent="0.2">
      <c r="A7" s="61"/>
      <c r="B7" s="62"/>
    </row>
    <row r="8" spans="1:4" x14ac:dyDescent="0.2">
      <c r="A8" s="61" t="s">
        <v>123</v>
      </c>
      <c r="B8" s="62"/>
    </row>
    <row r="9" spans="1:4" x14ac:dyDescent="0.2">
      <c r="A9" s="61"/>
      <c r="B9" s="62"/>
    </row>
    <row r="10" spans="1:4" x14ac:dyDescent="0.2">
      <c r="A10" s="61" t="s">
        <v>228</v>
      </c>
      <c r="B10" s="62"/>
    </row>
    <row r="11" spans="1:4" x14ac:dyDescent="0.2">
      <c r="A11" s="61" t="s">
        <v>229</v>
      </c>
    </row>
    <row r="12" spans="1:4" x14ac:dyDescent="0.2">
      <c r="A12" s="61" t="s">
        <v>101</v>
      </c>
    </row>
    <row r="13" spans="1:4" x14ac:dyDescent="0.2">
      <c r="A13" s="61" t="s">
        <v>2</v>
      </c>
    </row>
    <row r="14" spans="1:4" x14ac:dyDescent="0.2">
      <c r="A14" s="61" t="s">
        <v>4</v>
      </c>
    </row>
    <row r="15" spans="1:4" x14ac:dyDescent="0.2">
      <c r="A15" s="61" t="s">
        <v>5</v>
      </c>
      <c r="B15" s="62"/>
    </row>
    <row r="16" spans="1:4" x14ac:dyDescent="0.2">
      <c r="A16" s="61" t="s">
        <v>6</v>
      </c>
      <c r="B16" s="62"/>
    </row>
    <row r="17" spans="1:2" x14ac:dyDescent="0.2">
      <c r="A17" s="61" t="s">
        <v>9</v>
      </c>
    </row>
    <row r="18" spans="1:2" x14ac:dyDescent="0.2">
      <c r="A18" s="61" t="s">
        <v>10</v>
      </c>
    </row>
    <row r="19" spans="1:2" x14ac:dyDescent="0.2">
      <c r="A19" s="61" t="s">
        <v>124</v>
      </c>
    </row>
    <row r="20" spans="1:2" x14ac:dyDescent="0.2">
      <c r="A20" s="61" t="s">
        <v>7</v>
      </c>
    </row>
    <row r="21" spans="1:2" x14ac:dyDescent="0.2">
      <c r="A21" s="61" t="s">
        <v>8</v>
      </c>
    </row>
    <row r="22" spans="1:2" x14ac:dyDescent="0.2">
      <c r="A22" s="61" t="s">
        <v>3</v>
      </c>
    </row>
    <row r="23" spans="1:2" x14ac:dyDescent="0.2">
      <c r="A23" s="61" t="s">
        <v>114</v>
      </c>
      <c r="B23" s="122" t="s">
        <v>104</v>
      </c>
    </row>
    <row r="24" spans="1:2" x14ac:dyDescent="0.2">
      <c r="A24" s="61" t="s">
        <v>116</v>
      </c>
      <c r="B24" s="122"/>
    </row>
    <row r="25" spans="1:2" x14ac:dyDescent="0.2">
      <c r="A25" s="61" t="s">
        <v>115</v>
      </c>
      <c r="B25" s="122" t="s">
        <v>104</v>
      </c>
    </row>
    <row r="26" spans="1:2" x14ac:dyDescent="0.2">
      <c r="A26" s="61" t="s">
        <v>117</v>
      </c>
      <c r="B26" s="12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5C9E4-92C2-4B8F-81E3-D76764970487}">
  <dimension ref="A1:G18"/>
  <sheetViews>
    <sheetView zoomScale="130" zoomScaleNormal="130" zoomScaleSheetLayoutView="115" workbookViewId="0">
      <selection activeCell="D26" sqref="D26"/>
    </sheetView>
  </sheetViews>
  <sheetFormatPr baseColWidth="10" defaultColWidth="11.42578125" defaultRowHeight="12.75" x14ac:dyDescent="0.2"/>
  <cols>
    <col min="1" max="1" width="12.85546875" style="140" bestFit="1" customWidth="1"/>
    <col min="2" max="2" width="31.28515625" style="140" customWidth="1"/>
    <col min="3" max="3" width="24.28515625" style="140" customWidth="1"/>
    <col min="4" max="4" width="44.42578125" style="140" bestFit="1" customWidth="1"/>
    <col min="5" max="6" width="17" style="140" customWidth="1"/>
    <col min="7" max="7" width="13.85546875" style="152" bestFit="1" customWidth="1"/>
    <col min="8" max="16384" width="11.42578125" style="140"/>
  </cols>
  <sheetData>
    <row r="1" spans="1:7" ht="15.75" thickBot="1" x14ac:dyDescent="0.25">
      <c r="A1" s="438" t="s">
        <v>127</v>
      </c>
      <c r="B1" s="439"/>
      <c r="C1" s="439"/>
      <c r="D1" s="439"/>
      <c r="E1" s="439"/>
      <c r="F1" s="440"/>
      <c r="G1" s="139" t="s">
        <v>40</v>
      </c>
    </row>
    <row r="2" spans="1:7" ht="15" x14ac:dyDescent="0.2">
      <c r="A2" s="141" t="s">
        <v>141</v>
      </c>
      <c r="B2" s="142" t="s">
        <v>128</v>
      </c>
      <c r="C2" s="142" t="s">
        <v>129</v>
      </c>
      <c r="D2" s="142" t="s">
        <v>130</v>
      </c>
      <c r="E2" s="143" t="s">
        <v>47</v>
      </c>
      <c r="F2" s="144" t="s">
        <v>131</v>
      </c>
      <c r="G2" s="145"/>
    </row>
    <row r="3" spans="1:7" ht="15" x14ac:dyDescent="0.2">
      <c r="A3" s="149" t="s">
        <v>134</v>
      </c>
      <c r="B3" s="147" t="s">
        <v>132</v>
      </c>
      <c r="C3" s="148">
        <v>44844</v>
      </c>
      <c r="D3" s="149" t="s">
        <v>142</v>
      </c>
      <c r="E3" s="150">
        <v>1</v>
      </c>
      <c r="F3" s="151">
        <v>1</v>
      </c>
      <c r="G3" s="53"/>
    </row>
    <row r="4" spans="1:7" ht="15" x14ac:dyDescent="0.2">
      <c r="A4" s="149" t="s">
        <v>135</v>
      </c>
      <c r="B4" s="147" t="s">
        <v>132</v>
      </c>
      <c r="C4" s="148">
        <v>44844</v>
      </c>
      <c r="D4" s="149"/>
      <c r="E4" s="150">
        <v>1</v>
      </c>
      <c r="F4" s="151">
        <v>1</v>
      </c>
      <c r="G4" s="53"/>
    </row>
    <row r="5" spans="1:7" ht="15" x14ac:dyDescent="0.2">
      <c r="A5" s="149" t="s">
        <v>136</v>
      </c>
      <c r="B5" s="147" t="s">
        <v>132</v>
      </c>
      <c r="C5" s="148"/>
      <c r="D5" s="149"/>
      <c r="E5" s="150">
        <v>1</v>
      </c>
      <c r="F5" s="151">
        <v>1</v>
      </c>
      <c r="G5" s="53"/>
    </row>
    <row r="6" spans="1:7" ht="15" x14ac:dyDescent="0.2">
      <c r="A6" s="149" t="s">
        <v>137</v>
      </c>
      <c r="B6" s="147" t="s">
        <v>133</v>
      </c>
      <c r="C6" s="148"/>
      <c r="D6" s="149"/>
      <c r="E6" s="150">
        <v>1</v>
      </c>
      <c r="F6" s="151">
        <v>1</v>
      </c>
      <c r="G6" s="53"/>
    </row>
    <row r="7" spans="1:7" ht="15" x14ac:dyDescent="0.2">
      <c r="A7" s="149" t="s">
        <v>138</v>
      </c>
      <c r="B7" s="147" t="s">
        <v>133</v>
      </c>
      <c r="C7" s="148"/>
      <c r="D7" s="149"/>
      <c r="E7" s="150">
        <v>1</v>
      </c>
      <c r="F7" s="151">
        <v>1</v>
      </c>
      <c r="G7" s="53"/>
    </row>
    <row r="8" spans="1:7" ht="15" x14ac:dyDescent="0.2">
      <c r="A8" s="149" t="s">
        <v>139</v>
      </c>
      <c r="B8" s="147" t="s">
        <v>140</v>
      </c>
      <c r="C8" s="148"/>
      <c r="D8" s="149"/>
      <c r="E8" s="150">
        <v>1</v>
      </c>
      <c r="F8" s="151">
        <v>1</v>
      </c>
      <c r="G8" s="53"/>
    </row>
    <row r="9" spans="1:7" ht="15" x14ac:dyDescent="0.2">
      <c r="A9" s="146"/>
      <c r="B9" s="147"/>
      <c r="C9" s="147"/>
      <c r="D9" s="149"/>
      <c r="E9" s="150"/>
      <c r="F9" s="151"/>
      <c r="G9" s="53"/>
    </row>
    <row r="10" spans="1:7" ht="15" x14ac:dyDescent="0.2">
      <c r="A10" s="146"/>
      <c r="B10" s="147"/>
      <c r="C10" s="147"/>
      <c r="D10" s="149"/>
      <c r="E10" s="150"/>
      <c r="F10" s="151"/>
      <c r="G10" s="53"/>
    </row>
    <row r="11" spans="1:7" ht="15" x14ac:dyDescent="0.2">
      <c r="A11" s="168"/>
      <c r="B11" s="147"/>
      <c r="C11" s="147"/>
      <c r="D11" s="149"/>
      <c r="E11" s="150"/>
      <c r="F11" s="151"/>
      <c r="G11" s="53"/>
    </row>
    <row r="12" spans="1:7" ht="15" x14ac:dyDescent="0.2">
      <c r="A12" s="146"/>
      <c r="B12" s="147"/>
      <c r="C12" s="147"/>
      <c r="D12" s="149"/>
      <c r="E12" s="150"/>
      <c r="F12" s="151"/>
      <c r="G12" s="115"/>
    </row>
    <row r="13" spans="1:7" ht="15.75" thickBot="1" x14ac:dyDescent="0.25">
      <c r="A13" s="146"/>
      <c r="B13" s="147"/>
      <c r="C13" s="147"/>
      <c r="D13" s="149"/>
      <c r="E13" s="150"/>
      <c r="F13" s="151"/>
      <c r="G13" s="115"/>
    </row>
    <row r="14" spans="1:7" ht="15.75" thickBot="1" x14ac:dyDescent="0.25">
      <c r="A14" s="153"/>
      <c r="B14" s="154"/>
      <c r="C14" s="154"/>
      <c r="D14" s="149"/>
      <c r="E14" s="155">
        <f>SUM(E3:E13)</f>
        <v>6</v>
      </c>
      <c r="F14" s="155">
        <f>SUM(F3:F13)</f>
        <v>6</v>
      </c>
      <c r="G14" s="156"/>
    </row>
    <row r="15" spans="1:7" ht="15" x14ac:dyDescent="0.2">
      <c r="A15" s="153"/>
      <c r="B15" s="157"/>
      <c r="C15" s="157"/>
      <c r="D15" s="158"/>
      <c r="E15" s="159"/>
      <c r="F15" s="160"/>
      <c r="G15" s="117"/>
    </row>
    <row r="16" spans="1:7" ht="15" customHeight="1" x14ac:dyDescent="0.2">
      <c r="A16" s="161" t="s">
        <v>50</v>
      </c>
      <c r="B16" s="441"/>
      <c r="C16" s="441"/>
      <c r="D16" s="441"/>
      <c r="E16" s="441"/>
      <c r="F16" s="442"/>
      <c r="G16" s="156"/>
    </row>
    <row r="17" spans="1:7" ht="15" x14ac:dyDescent="0.2">
      <c r="A17" s="161"/>
      <c r="B17" s="441"/>
      <c r="C17" s="441"/>
      <c r="D17" s="441"/>
      <c r="E17" s="441"/>
      <c r="F17" s="442"/>
      <c r="G17" s="156"/>
    </row>
    <row r="18" spans="1:7" ht="15.75" thickBot="1" x14ac:dyDescent="0.25">
      <c r="A18" s="162"/>
      <c r="B18" s="163"/>
      <c r="C18" s="163"/>
      <c r="D18" s="164"/>
      <c r="E18" s="165"/>
      <c r="F18" s="166"/>
      <c r="G18" s="167"/>
    </row>
  </sheetData>
  <mergeCells count="2">
    <mergeCell ref="A1:F1"/>
    <mergeCell ref="B16:F17"/>
  </mergeCells>
  <pageMargins left="0.7" right="0.7" top="0.75" bottom="0.75" header="0.3" footer="0.3"/>
  <pageSetup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E42D9-AB89-4A74-9C87-3D2BC1713728}">
  <dimension ref="A1:H76"/>
  <sheetViews>
    <sheetView topLeftCell="C1" zoomScaleNormal="100" workbookViewId="0">
      <selection activeCell="F18" sqref="F18:G18"/>
    </sheetView>
  </sheetViews>
  <sheetFormatPr baseColWidth="10" defaultColWidth="11.42578125" defaultRowHeight="21" x14ac:dyDescent="0.35"/>
  <cols>
    <col min="1" max="1" width="8.140625" style="328" bestFit="1" customWidth="1"/>
    <col min="2" max="2" width="50.7109375" style="328" customWidth="1"/>
    <col min="3" max="4" width="20.5703125" style="58" customWidth="1"/>
    <col min="5" max="5" width="12.140625" style="293" customWidth="1"/>
    <col min="6" max="6" width="12.140625" style="292" customWidth="1"/>
    <col min="7" max="7" width="29.85546875" style="328" customWidth="1"/>
    <col min="8" max="8" width="22.140625" style="328" customWidth="1"/>
    <col min="9" max="16384" width="11.42578125" style="328"/>
  </cols>
  <sheetData>
    <row r="1" spans="1:8" s="326" customFormat="1" x14ac:dyDescent="0.35">
      <c r="A1" s="324"/>
      <c r="B1" s="325"/>
      <c r="C1" s="308" t="s">
        <v>67</v>
      </c>
      <c r="D1" s="308" t="s">
        <v>68</v>
      </c>
      <c r="E1" s="309" t="s">
        <v>69</v>
      </c>
      <c r="F1" s="449" t="s">
        <v>195</v>
      </c>
      <c r="G1" s="449"/>
    </row>
    <row r="2" spans="1:8" x14ac:dyDescent="0.35">
      <c r="A2" s="327"/>
      <c r="B2" s="327"/>
      <c r="C2" s="310"/>
      <c r="D2" s="310"/>
      <c r="E2" s="311"/>
      <c r="F2" s="445"/>
      <c r="G2" s="445"/>
    </row>
    <row r="3" spans="1:8" ht="23.25" x14ac:dyDescent="0.35">
      <c r="A3" s="327"/>
      <c r="B3" s="329" t="s">
        <v>70</v>
      </c>
      <c r="C3" s="310"/>
      <c r="D3" s="310"/>
      <c r="E3" s="311"/>
      <c r="F3" s="445"/>
      <c r="G3" s="445"/>
    </row>
    <row r="4" spans="1:8" x14ac:dyDescent="0.35">
      <c r="A4" s="327"/>
      <c r="B4" s="328" t="s">
        <v>196</v>
      </c>
      <c r="C4" s="59">
        <v>4200</v>
      </c>
      <c r="D4" s="59">
        <f>+C4*12</f>
        <v>50400</v>
      </c>
      <c r="E4" s="311"/>
      <c r="F4" s="445"/>
      <c r="G4" s="445"/>
    </row>
    <row r="5" spans="1:8" x14ac:dyDescent="0.35">
      <c r="A5" s="327"/>
      <c r="B5" s="328" t="s">
        <v>197</v>
      </c>
      <c r="C5" s="59">
        <v>0</v>
      </c>
      <c r="D5" s="59">
        <f>+C5*12</f>
        <v>0</v>
      </c>
      <c r="E5" s="311"/>
      <c r="F5" s="445"/>
      <c r="G5" s="445"/>
    </row>
    <row r="6" spans="1:8" x14ac:dyDescent="0.35">
      <c r="A6" s="327"/>
      <c r="B6" s="328" t="s">
        <v>198</v>
      </c>
      <c r="C6" s="59">
        <v>0</v>
      </c>
      <c r="D6" s="59">
        <f>+C6*12</f>
        <v>0</v>
      </c>
      <c r="E6" s="311"/>
      <c r="F6" s="445"/>
      <c r="G6" s="445"/>
    </row>
    <row r="7" spans="1:8" ht="21.75" thickBot="1" x14ac:dyDescent="0.4">
      <c r="A7" s="327"/>
      <c r="B7" s="327"/>
      <c r="C7" s="60"/>
      <c r="D7" s="60"/>
      <c r="E7" s="311"/>
      <c r="F7" s="445"/>
      <c r="G7" s="445"/>
    </row>
    <row r="8" spans="1:8" ht="21.75" thickTop="1" x14ac:dyDescent="0.35">
      <c r="A8" s="327"/>
      <c r="B8" s="330" t="s">
        <v>71</v>
      </c>
      <c r="C8" s="312">
        <f>SUM(C4:C7)</f>
        <v>4200</v>
      </c>
      <c r="D8" s="312">
        <f>SUM(D4:D7)</f>
        <v>50400</v>
      </c>
      <c r="E8" s="311"/>
      <c r="F8" s="445"/>
      <c r="G8" s="445"/>
    </row>
    <row r="9" spans="1:8" x14ac:dyDescent="0.35">
      <c r="A9" s="327"/>
      <c r="B9" s="327"/>
      <c r="C9" s="310"/>
      <c r="D9" s="310"/>
      <c r="E9" s="311"/>
      <c r="F9" s="445"/>
      <c r="G9" s="445"/>
    </row>
    <row r="10" spans="1:8" x14ac:dyDescent="0.35">
      <c r="A10" s="327"/>
      <c r="B10" s="327"/>
      <c r="C10" s="310"/>
      <c r="D10" s="310"/>
      <c r="E10" s="311"/>
      <c r="F10" s="445"/>
      <c r="G10" s="445"/>
    </row>
    <row r="11" spans="1:8" ht="23.25" x14ac:dyDescent="0.35">
      <c r="A11" s="327"/>
      <c r="B11" s="331" t="s">
        <v>72</v>
      </c>
      <c r="C11" s="310"/>
      <c r="D11" s="310"/>
      <c r="E11" s="311"/>
      <c r="F11" s="445"/>
      <c r="G11" s="445"/>
    </row>
    <row r="12" spans="1:8" ht="21.75" thickBot="1" x14ac:dyDescent="0.4">
      <c r="A12" s="332"/>
      <c r="B12" s="333" t="s">
        <v>213</v>
      </c>
      <c r="C12" s="334">
        <f>C13</f>
        <v>100</v>
      </c>
      <c r="D12" s="300"/>
      <c r="E12" s="301"/>
      <c r="F12" s="445"/>
      <c r="G12" s="445"/>
      <c r="H12" s="304"/>
    </row>
    <row r="13" spans="1:8" x14ac:dyDescent="0.35">
      <c r="A13" s="335">
        <v>0.03</v>
      </c>
      <c r="B13" s="328" t="s">
        <v>92</v>
      </c>
      <c r="C13" s="59">
        <v>100</v>
      </c>
      <c r="D13" s="59">
        <f>+C13*12</f>
        <v>1200</v>
      </c>
      <c r="E13" s="303">
        <f>D13/D8</f>
        <v>2.3809523809523808E-2</v>
      </c>
      <c r="F13" s="445"/>
      <c r="G13" s="445"/>
      <c r="H13" s="336"/>
    </row>
    <row r="14" spans="1:8" ht="21.75" thickBot="1" x14ac:dyDescent="0.4">
      <c r="A14" s="337"/>
      <c r="B14" s="333" t="s">
        <v>214</v>
      </c>
      <c r="C14" s="334">
        <f>C18</f>
        <v>500</v>
      </c>
      <c r="D14" s="300"/>
      <c r="E14" s="305"/>
      <c r="F14" s="445"/>
      <c r="G14" s="445"/>
      <c r="H14" s="336"/>
    </row>
    <row r="15" spans="1:8" x14ac:dyDescent="0.35">
      <c r="A15" s="448">
        <v>0.15</v>
      </c>
      <c r="B15" s="328" t="s">
        <v>93</v>
      </c>
      <c r="C15" s="59">
        <v>500</v>
      </c>
      <c r="D15" s="59">
        <f>+C15*12</f>
        <v>6000</v>
      </c>
      <c r="E15" s="296">
        <f>D15/D8</f>
        <v>0.11904761904761904</v>
      </c>
      <c r="F15" s="445"/>
      <c r="G15" s="445"/>
      <c r="H15" s="304"/>
    </row>
    <row r="16" spans="1:8" x14ac:dyDescent="0.35">
      <c r="A16" s="448"/>
      <c r="B16" s="328" t="s">
        <v>94</v>
      </c>
      <c r="C16" s="59">
        <v>0</v>
      </c>
      <c r="D16" s="59">
        <f>+C16*12</f>
        <v>0</v>
      </c>
      <c r="E16" s="296">
        <f>D16/D8</f>
        <v>0</v>
      </c>
      <c r="F16" s="445"/>
      <c r="G16" s="445"/>
      <c r="H16" s="304"/>
    </row>
    <row r="17" spans="1:8" x14ac:dyDescent="0.35">
      <c r="A17" s="448"/>
      <c r="B17" s="328" t="s">
        <v>95</v>
      </c>
      <c r="C17" s="59">
        <v>0</v>
      </c>
      <c r="D17" s="59">
        <f>+C17*12</f>
        <v>0</v>
      </c>
      <c r="E17" s="296">
        <f>D17/D8</f>
        <v>0</v>
      </c>
      <c r="F17" s="445"/>
      <c r="G17" s="445"/>
      <c r="H17" s="304"/>
    </row>
    <row r="18" spans="1:8" x14ac:dyDescent="0.35">
      <c r="A18" s="448"/>
      <c r="B18" s="339" t="s">
        <v>153</v>
      </c>
      <c r="C18" s="297">
        <f>C15+C16+C17</f>
        <v>500</v>
      </c>
      <c r="D18" s="297">
        <f>D15+D16+D17</f>
        <v>6000</v>
      </c>
      <c r="E18" s="298">
        <f>E15+E16+E17</f>
        <v>0.11904761904761904</v>
      </c>
      <c r="F18" s="445"/>
      <c r="G18" s="445"/>
      <c r="H18" s="304"/>
    </row>
    <row r="19" spans="1:8" ht="21.75" thickBot="1" x14ac:dyDescent="0.4">
      <c r="A19" s="340"/>
      <c r="B19" s="333" t="s">
        <v>73</v>
      </c>
      <c r="C19" s="341">
        <f>C25</f>
        <v>1450</v>
      </c>
      <c r="D19" s="294"/>
      <c r="E19" s="295"/>
      <c r="F19" s="445"/>
      <c r="G19" s="445"/>
    </row>
    <row r="20" spans="1:8" x14ac:dyDescent="0.35">
      <c r="A20" s="447">
        <v>0.32</v>
      </c>
      <c r="B20" s="328" t="s">
        <v>74</v>
      </c>
      <c r="C20" s="59">
        <v>900</v>
      </c>
      <c r="D20" s="59">
        <f>+C20*12</f>
        <v>10800</v>
      </c>
      <c r="E20" s="296">
        <f>D20/D8</f>
        <v>0.21428571428571427</v>
      </c>
      <c r="F20" s="445"/>
      <c r="G20" s="445"/>
    </row>
    <row r="21" spans="1:8" x14ac:dyDescent="0.35">
      <c r="A21" s="448"/>
      <c r="B21" s="328" t="s">
        <v>75</v>
      </c>
      <c r="C21" s="59">
        <v>200</v>
      </c>
      <c r="D21" s="59">
        <f>+C21*12</f>
        <v>2400</v>
      </c>
      <c r="E21" s="296">
        <f>D21/D8</f>
        <v>4.7619047619047616E-2</v>
      </c>
      <c r="F21" s="445"/>
      <c r="G21" s="445"/>
    </row>
    <row r="22" spans="1:8" x14ac:dyDescent="0.35">
      <c r="A22" s="448"/>
      <c r="B22" s="328" t="s">
        <v>199</v>
      </c>
      <c r="C22" s="59">
        <v>200</v>
      </c>
      <c r="D22" s="59">
        <v>0</v>
      </c>
      <c r="E22" s="296">
        <f>D22/D8</f>
        <v>0</v>
      </c>
      <c r="F22" s="445"/>
      <c r="G22" s="445"/>
    </row>
    <row r="23" spans="1:8" x14ac:dyDescent="0.35">
      <c r="A23" s="448"/>
      <c r="B23" s="328" t="s">
        <v>76</v>
      </c>
      <c r="C23" s="59">
        <v>100</v>
      </c>
      <c r="D23" s="59">
        <f>+C23*12</f>
        <v>1200</v>
      </c>
      <c r="E23" s="296">
        <f>D23/D8</f>
        <v>2.3809523809523808E-2</v>
      </c>
      <c r="F23" s="445"/>
      <c r="G23" s="445"/>
    </row>
    <row r="24" spans="1:8" x14ac:dyDescent="0.35">
      <c r="A24" s="448"/>
      <c r="B24" s="328" t="s">
        <v>77</v>
      </c>
      <c r="C24" s="59">
        <v>50</v>
      </c>
      <c r="D24" s="59">
        <f>+C24*12</f>
        <v>600</v>
      </c>
      <c r="E24" s="296">
        <f>D24/D8</f>
        <v>1.1904761904761904E-2</v>
      </c>
      <c r="F24" s="445"/>
      <c r="G24" s="445"/>
    </row>
    <row r="25" spans="1:8" x14ac:dyDescent="0.35">
      <c r="A25" s="448"/>
      <c r="B25" s="339" t="s">
        <v>153</v>
      </c>
      <c r="C25" s="297">
        <f>C20+C21+C22+C23+C24</f>
        <v>1450</v>
      </c>
      <c r="D25" s="297">
        <f>D20+D21+D22+D23+D24</f>
        <v>15000</v>
      </c>
      <c r="E25" s="298">
        <f>E20+E21+E22+E23+E24</f>
        <v>0.29761904761904762</v>
      </c>
      <c r="F25" s="445"/>
      <c r="G25" s="445"/>
    </row>
    <row r="26" spans="1:8" ht="21.75" thickBot="1" x14ac:dyDescent="0.4">
      <c r="A26" s="342"/>
      <c r="B26" s="333" t="s">
        <v>200</v>
      </c>
      <c r="C26" s="343">
        <f>C30</f>
        <v>120</v>
      </c>
      <c r="D26" s="299"/>
      <c r="E26" s="295"/>
      <c r="F26" s="445"/>
      <c r="G26" s="445"/>
    </row>
    <row r="27" spans="1:8" x14ac:dyDescent="0.35">
      <c r="A27" s="447">
        <v>0.05</v>
      </c>
      <c r="B27" s="328" t="s">
        <v>86</v>
      </c>
      <c r="C27" s="59">
        <v>70</v>
      </c>
      <c r="D27" s="59">
        <f>+C27*12</f>
        <v>840</v>
      </c>
      <c r="E27" s="296">
        <f>D27/D8</f>
        <v>1.6666666666666666E-2</v>
      </c>
      <c r="F27" s="445"/>
      <c r="G27" s="445"/>
    </row>
    <row r="28" spans="1:8" x14ac:dyDescent="0.35">
      <c r="A28" s="448"/>
      <c r="B28" s="328" t="s">
        <v>201</v>
      </c>
      <c r="C28" s="59">
        <v>35</v>
      </c>
      <c r="D28" s="59">
        <f>+C28*12</f>
        <v>420</v>
      </c>
      <c r="E28" s="296">
        <f>D28/D8</f>
        <v>8.3333333333333332E-3</v>
      </c>
      <c r="F28" s="445"/>
      <c r="G28" s="445"/>
    </row>
    <row r="29" spans="1:8" x14ac:dyDescent="0.35">
      <c r="A29" s="448"/>
      <c r="B29" s="328" t="s">
        <v>202</v>
      </c>
      <c r="C29" s="59">
        <v>15</v>
      </c>
      <c r="D29" s="59">
        <f>+C29*12</f>
        <v>180</v>
      </c>
      <c r="E29" s="296">
        <f>D29/D8</f>
        <v>3.5714285714285713E-3</v>
      </c>
      <c r="F29" s="445"/>
      <c r="G29" s="445"/>
    </row>
    <row r="30" spans="1:8" x14ac:dyDescent="0.35">
      <c r="A30" s="448"/>
      <c r="B30" s="339" t="s">
        <v>153</v>
      </c>
      <c r="C30" s="297">
        <f>C27+C28+C29</f>
        <v>120</v>
      </c>
      <c r="D30" s="297">
        <f>D27+D28+D29</f>
        <v>1440</v>
      </c>
      <c r="E30" s="298">
        <f>E27+E28+E29</f>
        <v>2.8571428571428574E-2</v>
      </c>
      <c r="F30" s="445"/>
      <c r="G30" s="445"/>
    </row>
    <row r="31" spans="1:8" ht="21.75" thickBot="1" x14ac:dyDescent="0.4">
      <c r="A31" s="332"/>
      <c r="B31" s="344" t="s">
        <v>78</v>
      </c>
      <c r="C31" s="334">
        <f>C36</f>
        <v>320</v>
      </c>
      <c r="D31" s="300"/>
      <c r="E31" s="295"/>
      <c r="F31" s="445"/>
      <c r="G31" s="445"/>
    </row>
    <row r="32" spans="1:8" x14ac:dyDescent="0.35">
      <c r="A32" s="447">
        <v>0.15</v>
      </c>
      <c r="B32" s="328" t="s">
        <v>79</v>
      </c>
      <c r="C32" s="59">
        <v>100</v>
      </c>
      <c r="D32" s="59">
        <f>+C32*12</f>
        <v>1200</v>
      </c>
      <c r="E32" s="296">
        <f>D32/D8</f>
        <v>2.3809523809523808E-2</v>
      </c>
      <c r="F32" s="445"/>
      <c r="G32" s="445"/>
    </row>
    <row r="33" spans="1:7" x14ac:dyDescent="0.35">
      <c r="A33" s="448"/>
      <c r="B33" s="328" t="s">
        <v>203</v>
      </c>
      <c r="C33" s="59">
        <v>100</v>
      </c>
      <c r="D33" s="59">
        <f>+C33*12</f>
        <v>1200</v>
      </c>
      <c r="E33" s="296">
        <f>D33/D8</f>
        <v>2.3809523809523808E-2</v>
      </c>
      <c r="F33" s="445"/>
      <c r="G33" s="445"/>
    </row>
    <row r="34" spans="1:7" x14ac:dyDescent="0.35">
      <c r="A34" s="448"/>
      <c r="B34" s="328" t="s">
        <v>80</v>
      </c>
      <c r="C34" s="59">
        <v>100</v>
      </c>
      <c r="D34" s="59">
        <f>+C34*12</f>
        <v>1200</v>
      </c>
      <c r="E34" s="296">
        <f>D34/D8</f>
        <v>2.3809523809523808E-2</v>
      </c>
      <c r="F34" s="445"/>
      <c r="G34" s="445"/>
    </row>
    <row r="35" spans="1:7" x14ac:dyDescent="0.35">
      <c r="A35" s="448"/>
      <c r="B35" s="328" t="s">
        <v>215</v>
      </c>
      <c r="C35" s="59">
        <v>20</v>
      </c>
      <c r="D35" s="59">
        <f>+C35*12</f>
        <v>240</v>
      </c>
      <c r="E35" s="296">
        <f>D35/D8</f>
        <v>4.7619047619047623E-3</v>
      </c>
      <c r="F35" s="445"/>
      <c r="G35" s="445"/>
    </row>
    <row r="36" spans="1:7" x14ac:dyDescent="0.35">
      <c r="A36" s="448"/>
      <c r="B36" s="339" t="s">
        <v>153</v>
      </c>
      <c r="C36" s="297">
        <f>C32+C33+C34+C35</f>
        <v>320</v>
      </c>
      <c r="D36" s="297">
        <f>D32+D33+D34+D35</f>
        <v>3840</v>
      </c>
      <c r="E36" s="298">
        <f>E32+E33+E34+E35</f>
        <v>7.6190476190476183E-2</v>
      </c>
      <c r="F36" s="445"/>
      <c r="G36" s="445"/>
    </row>
    <row r="37" spans="1:7" ht="21.75" thickBot="1" x14ac:dyDescent="0.4">
      <c r="A37" s="332"/>
      <c r="B37" s="344" t="s">
        <v>204</v>
      </c>
      <c r="C37" s="334">
        <f>C43</f>
        <v>590</v>
      </c>
      <c r="D37" s="300"/>
      <c r="E37" s="295"/>
      <c r="F37" s="445"/>
      <c r="G37" s="445"/>
    </row>
    <row r="38" spans="1:7" x14ac:dyDescent="0.35">
      <c r="A38" s="447">
        <v>0.15</v>
      </c>
      <c r="B38" s="328" t="s">
        <v>121</v>
      </c>
      <c r="C38" s="59">
        <v>400</v>
      </c>
      <c r="D38" s="59">
        <f>+C38*12</f>
        <v>4800</v>
      </c>
      <c r="E38" s="296">
        <f>D38/D8</f>
        <v>9.5238095238095233E-2</v>
      </c>
      <c r="F38" s="445"/>
      <c r="G38" s="445"/>
    </row>
    <row r="39" spans="1:7" x14ac:dyDescent="0.35">
      <c r="A39" s="448"/>
      <c r="B39" s="328" t="s">
        <v>81</v>
      </c>
      <c r="C39" s="59">
        <v>50</v>
      </c>
      <c r="D39" s="59">
        <f>+C39*12</f>
        <v>600</v>
      </c>
      <c r="E39" s="296">
        <f>D39/D8</f>
        <v>1.1904761904761904E-2</v>
      </c>
      <c r="F39" s="445"/>
      <c r="G39" s="445"/>
    </row>
    <row r="40" spans="1:7" x14ac:dyDescent="0.35">
      <c r="A40" s="448"/>
      <c r="B40" s="328" t="s">
        <v>205</v>
      </c>
      <c r="C40" s="59">
        <v>100</v>
      </c>
      <c r="D40" s="59">
        <f>+C40*12</f>
        <v>1200</v>
      </c>
      <c r="E40" s="296">
        <f>D40/D8</f>
        <v>2.3809523809523808E-2</v>
      </c>
      <c r="F40" s="445"/>
      <c r="G40" s="445"/>
    </row>
    <row r="41" spans="1:7" x14ac:dyDescent="0.35">
      <c r="A41" s="448"/>
      <c r="B41" s="328" t="s">
        <v>206</v>
      </c>
      <c r="C41" s="59">
        <v>20</v>
      </c>
      <c r="D41" s="59">
        <f>+C41*12</f>
        <v>240</v>
      </c>
      <c r="E41" s="296">
        <f>D41/D8</f>
        <v>4.7619047619047623E-3</v>
      </c>
      <c r="F41" s="445"/>
      <c r="G41" s="445"/>
    </row>
    <row r="42" spans="1:7" x14ac:dyDescent="0.35">
      <c r="A42" s="448"/>
      <c r="B42" s="328" t="s">
        <v>207</v>
      </c>
      <c r="C42" s="59">
        <v>20</v>
      </c>
      <c r="D42" s="59">
        <f>+C42*12</f>
        <v>240</v>
      </c>
      <c r="E42" s="296">
        <f>D42/D8</f>
        <v>4.7619047619047623E-3</v>
      </c>
      <c r="F42" s="445"/>
      <c r="G42" s="445"/>
    </row>
    <row r="43" spans="1:7" x14ac:dyDescent="0.35">
      <c r="A43" s="448"/>
      <c r="B43" s="339" t="s">
        <v>153</v>
      </c>
      <c r="C43" s="297">
        <f>C38+C39+C40+C41+C42</f>
        <v>590</v>
      </c>
      <c r="D43" s="297">
        <f>D38+D39+D40+D41+D42</f>
        <v>7080</v>
      </c>
      <c r="E43" s="298">
        <f>E38+E39+E40+E41+E42</f>
        <v>0.14047619047619048</v>
      </c>
      <c r="F43" s="445"/>
      <c r="G43" s="445"/>
    </row>
    <row r="44" spans="1:7" ht="21.75" thickBot="1" x14ac:dyDescent="0.4">
      <c r="A44" s="332"/>
      <c r="B44" s="344" t="s">
        <v>208</v>
      </c>
      <c r="C44" s="334">
        <f>C50</f>
        <v>140</v>
      </c>
      <c r="D44" s="300"/>
      <c r="E44" s="301"/>
      <c r="F44" s="445"/>
      <c r="G44" s="445"/>
    </row>
    <row r="45" spans="1:7" x14ac:dyDescent="0.35">
      <c r="A45" s="447">
        <v>0.1</v>
      </c>
      <c r="B45" s="328" t="s">
        <v>82</v>
      </c>
      <c r="C45" s="59">
        <v>10</v>
      </c>
      <c r="D45" s="59">
        <f>+C45*12</f>
        <v>120</v>
      </c>
      <c r="E45" s="296">
        <f>D45/D8</f>
        <v>2.3809523809523812E-3</v>
      </c>
      <c r="F45" s="445"/>
      <c r="G45" s="445"/>
    </row>
    <row r="46" spans="1:7" x14ac:dyDescent="0.35">
      <c r="A46" s="448"/>
      <c r="B46" s="328" t="s">
        <v>83</v>
      </c>
      <c r="C46" s="59">
        <v>5</v>
      </c>
      <c r="D46" s="59">
        <f>+C46*12</f>
        <v>60</v>
      </c>
      <c r="E46" s="296">
        <f>D46/D8</f>
        <v>1.1904761904761906E-3</v>
      </c>
      <c r="F46" s="445"/>
      <c r="G46" s="445"/>
    </row>
    <row r="47" spans="1:7" ht="21" customHeight="1" x14ac:dyDescent="0.35">
      <c r="A47" s="448"/>
      <c r="B47" s="328" t="s">
        <v>84</v>
      </c>
      <c r="C47" s="59">
        <v>10</v>
      </c>
      <c r="D47" s="59">
        <f>+C47*12</f>
        <v>120</v>
      </c>
      <c r="E47" s="296">
        <f>D47/D8</f>
        <v>2.3809523809523812E-3</v>
      </c>
      <c r="F47" s="445"/>
      <c r="G47" s="445"/>
    </row>
    <row r="48" spans="1:7" x14ac:dyDescent="0.35">
      <c r="A48" s="448"/>
      <c r="B48" s="345" t="s">
        <v>209</v>
      </c>
      <c r="C48" s="59">
        <v>15</v>
      </c>
      <c r="D48" s="59">
        <f>+C48*12</f>
        <v>180</v>
      </c>
      <c r="E48" s="296">
        <f>D48/D8</f>
        <v>3.5714285714285713E-3</v>
      </c>
      <c r="F48" s="445"/>
      <c r="G48" s="445"/>
    </row>
    <row r="49" spans="1:8" x14ac:dyDescent="0.35">
      <c r="A49" s="448"/>
      <c r="B49" s="345" t="s">
        <v>210</v>
      </c>
      <c r="C49" s="59">
        <v>100</v>
      </c>
      <c r="D49" s="59">
        <f>+C49*12</f>
        <v>1200</v>
      </c>
      <c r="E49" s="296">
        <f>D49/D8</f>
        <v>2.3809523809523808E-2</v>
      </c>
      <c r="F49" s="445"/>
      <c r="G49" s="445"/>
    </row>
    <row r="50" spans="1:8" x14ac:dyDescent="0.35">
      <c r="A50" s="448"/>
      <c r="B50" s="339" t="s">
        <v>153</v>
      </c>
      <c r="C50" s="297">
        <f>C45+C46+C47+C48+C49</f>
        <v>140</v>
      </c>
      <c r="D50" s="297">
        <f>D45+D46+D47+D48+D49</f>
        <v>1680</v>
      </c>
      <c r="E50" s="298">
        <f>E45+E46+E47+E48+E49</f>
        <v>3.3333333333333333E-2</v>
      </c>
      <c r="F50" s="445"/>
      <c r="G50" s="445"/>
    </row>
    <row r="51" spans="1:8" ht="21.75" thickBot="1" x14ac:dyDescent="0.4">
      <c r="A51" s="332"/>
      <c r="B51" s="333" t="s">
        <v>85</v>
      </c>
      <c r="C51" s="334">
        <f>C59</f>
        <v>30</v>
      </c>
      <c r="D51" s="300"/>
      <c r="E51" s="301"/>
      <c r="F51" s="445"/>
      <c r="G51" s="445"/>
    </row>
    <row r="52" spans="1:8" x14ac:dyDescent="0.35">
      <c r="A52" s="447">
        <v>0.05</v>
      </c>
      <c r="B52" s="328" t="s">
        <v>97</v>
      </c>
      <c r="C52" s="59">
        <v>10</v>
      </c>
      <c r="D52" s="59">
        <f t="shared" ref="D52:D58" si="0">+C52*12</f>
        <v>120</v>
      </c>
      <c r="E52" s="296">
        <f>D52/D8</f>
        <v>2.3809523809523812E-3</v>
      </c>
      <c r="F52" s="445"/>
      <c r="G52" s="445"/>
    </row>
    <row r="53" spans="1:8" x14ac:dyDescent="0.35">
      <c r="A53" s="448"/>
      <c r="B53" s="328" t="s">
        <v>87</v>
      </c>
      <c r="C53" s="59">
        <v>10</v>
      </c>
      <c r="D53" s="59">
        <f t="shared" si="0"/>
        <v>120</v>
      </c>
      <c r="E53" s="296">
        <f>D53/D8</f>
        <v>2.3809523809523812E-3</v>
      </c>
      <c r="F53" s="445"/>
      <c r="G53" s="445"/>
    </row>
    <row r="54" spans="1:8" x14ac:dyDescent="0.35">
      <c r="A54" s="448"/>
      <c r="B54" s="328" t="s">
        <v>211</v>
      </c>
      <c r="C54" s="59">
        <v>10</v>
      </c>
      <c r="D54" s="59">
        <f t="shared" si="0"/>
        <v>120</v>
      </c>
      <c r="E54" s="296">
        <f>D54/D8</f>
        <v>2.3809523809523812E-3</v>
      </c>
      <c r="F54" s="445"/>
      <c r="G54" s="445"/>
    </row>
    <row r="55" spans="1:8" x14ac:dyDescent="0.35">
      <c r="A55" s="448"/>
      <c r="B55" s="328" t="s">
        <v>88</v>
      </c>
      <c r="C55" s="59">
        <v>0</v>
      </c>
      <c r="D55" s="59">
        <f t="shared" si="0"/>
        <v>0</v>
      </c>
      <c r="E55" s="296">
        <f>D55/D8</f>
        <v>0</v>
      </c>
      <c r="F55" s="445"/>
      <c r="G55" s="445"/>
    </row>
    <row r="56" spans="1:8" x14ac:dyDescent="0.35">
      <c r="A56" s="448"/>
      <c r="B56" s="328" t="s">
        <v>89</v>
      </c>
      <c r="C56" s="59">
        <v>0</v>
      </c>
      <c r="D56" s="59">
        <f t="shared" si="0"/>
        <v>0</v>
      </c>
      <c r="E56" s="296">
        <f>D56/D8</f>
        <v>0</v>
      </c>
      <c r="F56" s="445"/>
      <c r="G56" s="445"/>
    </row>
    <row r="57" spans="1:8" x14ac:dyDescent="0.35">
      <c r="A57" s="448"/>
      <c r="B57" s="328" t="s">
        <v>212</v>
      </c>
      <c r="C57" s="59">
        <v>0</v>
      </c>
      <c r="D57" s="59">
        <f t="shared" si="0"/>
        <v>0</v>
      </c>
      <c r="E57" s="296">
        <f>D57/D8</f>
        <v>0</v>
      </c>
      <c r="F57" s="445"/>
      <c r="G57" s="445"/>
    </row>
    <row r="58" spans="1:8" x14ac:dyDescent="0.35">
      <c r="A58" s="448"/>
      <c r="B58" s="328" t="s">
        <v>96</v>
      </c>
      <c r="C58" s="302">
        <v>0</v>
      </c>
      <c r="D58" s="59">
        <f t="shared" si="0"/>
        <v>0</v>
      </c>
      <c r="E58" s="296">
        <f>D58/D8</f>
        <v>0</v>
      </c>
      <c r="F58" s="445"/>
      <c r="G58" s="445"/>
      <c r="H58" s="346"/>
    </row>
    <row r="59" spans="1:8" x14ac:dyDescent="0.35">
      <c r="A59" s="448"/>
      <c r="B59" s="339" t="s">
        <v>153</v>
      </c>
      <c r="C59" s="347">
        <f>C52+C53+C54+C55+C56+C57+C58</f>
        <v>30</v>
      </c>
      <c r="D59" s="347">
        <f>D52+D53+D54+D55+D56+D57+D58</f>
        <v>360</v>
      </c>
      <c r="E59" s="303">
        <f>E52+E53+E54+E55+E56+E57+E58</f>
        <v>7.1428571428571435E-3</v>
      </c>
      <c r="F59" s="445"/>
      <c r="G59" s="445"/>
      <c r="H59" s="346"/>
    </row>
    <row r="60" spans="1:8" ht="21.75" thickBot="1" x14ac:dyDescent="0.4">
      <c r="A60" s="332"/>
      <c r="B60" s="333" t="s">
        <v>90</v>
      </c>
      <c r="C60" s="334">
        <f>C61</f>
        <v>0</v>
      </c>
      <c r="D60" s="300"/>
      <c r="E60" s="301"/>
      <c r="F60" s="445"/>
      <c r="G60" s="445"/>
    </row>
    <row r="61" spans="1:8" x14ac:dyDescent="0.35">
      <c r="A61" s="338">
        <v>0</v>
      </c>
      <c r="B61" s="328" t="s">
        <v>91</v>
      </c>
      <c r="C61" s="59">
        <v>0</v>
      </c>
      <c r="D61" s="59">
        <f>+C61*12</f>
        <v>0</v>
      </c>
      <c r="E61" s="306">
        <f>+D61/$D$65</f>
        <v>0</v>
      </c>
      <c r="F61" s="445"/>
      <c r="G61" s="445"/>
    </row>
    <row r="62" spans="1:8" x14ac:dyDescent="0.35">
      <c r="A62" s="443"/>
      <c r="B62" s="443"/>
      <c r="C62" s="59"/>
      <c r="D62" s="59"/>
      <c r="F62" s="445"/>
      <c r="G62" s="445"/>
    </row>
    <row r="63" spans="1:8" x14ac:dyDescent="0.35">
      <c r="A63" s="348">
        <f>A61+A15+A13++A52+A45+A38+A32+A27+A20</f>
        <v>1</v>
      </c>
      <c r="C63" s="59"/>
      <c r="D63" s="59"/>
      <c r="F63" s="445"/>
      <c r="G63" s="445"/>
    </row>
    <row r="64" spans="1:8" ht="21.75" thickBot="1" x14ac:dyDescent="0.4">
      <c r="A64" s="443"/>
      <c r="B64" s="443"/>
      <c r="C64" s="60"/>
      <c r="D64" s="60"/>
      <c r="E64" s="307"/>
      <c r="F64" s="445"/>
      <c r="G64" s="445"/>
    </row>
    <row r="65" spans="1:7" ht="21.75" thickTop="1" x14ac:dyDescent="0.35">
      <c r="A65" s="444" t="s">
        <v>98</v>
      </c>
      <c r="B65" s="444"/>
      <c r="C65" s="313">
        <f>C25+C30+C36+C43+C50+C59+C18+C61+C13</f>
        <v>3250</v>
      </c>
      <c r="D65" s="313">
        <f>D25+D30+D36+D43+D50+D59+D18+D61+D13</f>
        <v>36600</v>
      </c>
      <c r="E65" s="314">
        <f>E25+E30+E36+E43+E50+E59+E18+E61+E13</f>
        <v>0.72619047619047628</v>
      </c>
      <c r="F65" s="445"/>
      <c r="G65" s="445"/>
    </row>
    <row r="66" spans="1:7" x14ac:dyDescent="0.35">
      <c r="A66" s="446"/>
      <c r="B66" s="446"/>
      <c r="C66" s="310"/>
      <c r="D66" s="310"/>
      <c r="E66" s="311"/>
      <c r="F66" s="445"/>
      <c r="G66" s="445"/>
    </row>
    <row r="67" spans="1:7" x14ac:dyDescent="0.35">
      <c r="A67" s="444" t="s">
        <v>99</v>
      </c>
      <c r="B67" s="444"/>
      <c r="C67" s="310">
        <f>C8-C65</f>
        <v>950</v>
      </c>
      <c r="D67" s="315">
        <f>+D8-D65</f>
        <v>13800</v>
      </c>
      <c r="E67" s="311"/>
      <c r="F67" s="445"/>
      <c r="G67" s="445"/>
    </row>
    <row r="68" spans="1:7" x14ac:dyDescent="0.35">
      <c r="A68" s="443"/>
      <c r="B68" s="443"/>
    </row>
    <row r="69" spans="1:7" x14ac:dyDescent="0.35">
      <c r="A69" s="443"/>
      <c r="B69" s="443"/>
    </row>
    <row r="70" spans="1:7" x14ac:dyDescent="0.35">
      <c r="A70" s="443"/>
      <c r="B70" s="443"/>
    </row>
    <row r="71" spans="1:7" x14ac:dyDescent="0.35">
      <c r="A71" s="443"/>
      <c r="B71" s="443"/>
    </row>
    <row r="72" spans="1:7" x14ac:dyDescent="0.35">
      <c r="A72" s="443"/>
      <c r="B72" s="443"/>
    </row>
    <row r="73" spans="1:7" x14ac:dyDescent="0.35">
      <c r="A73" s="443"/>
      <c r="B73" s="443"/>
    </row>
    <row r="74" spans="1:7" x14ac:dyDescent="0.35">
      <c r="A74" s="443"/>
      <c r="B74" s="443"/>
    </row>
    <row r="75" spans="1:7" x14ac:dyDescent="0.35">
      <c r="A75" s="443"/>
      <c r="B75" s="443"/>
    </row>
    <row r="76" spans="1:7" x14ac:dyDescent="0.35">
      <c r="A76" s="443"/>
      <c r="B76" s="443"/>
    </row>
  </sheetData>
  <sheetProtection insertColumns="0" insertRows="0" deleteColumns="0" deleteRows="0" sort="0" autoFilter="0" pivotTables="0"/>
  <mergeCells count="88">
    <mergeCell ref="F12:G12"/>
    <mergeCell ref="F1:G1"/>
    <mergeCell ref="F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3:G13"/>
    <mergeCell ref="F14:G14"/>
    <mergeCell ref="A15:A18"/>
    <mergeCell ref="F15:G15"/>
    <mergeCell ref="F16:G16"/>
    <mergeCell ref="F17:G17"/>
    <mergeCell ref="F18:G18"/>
    <mergeCell ref="F19:G19"/>
    <mergeCell ref="A20:A25"/>
    <mergeCell ref="F20:G20"/>
    <mergeCell ref="F21:G21"/>
    <mergeCell ref="F22:G22"/>
    <mergeCell ref="F23:G23"/>
    <mergeCell ref="F24:G24"/>
    <mergeCell ref="F25:G25"/>
    <mergeCell ref="F26:G26"/>
    <mergeCell ref="A27:A30"/>
    <mergeCell ref="F27:G27"/>
    <mergeCell ref="F28:G28"/>
    <mergeCell ref="F29:G29"/>
    <mergeCell ref="F30:G30"/>
    <mergeCell ref="F31:G31"/>
    <mergeCell ref="A32:A36"/>
    <mergeCell ref="F32:G32"/>
    <mergeCell ref="F33:G33"/>
    <mergeCell ref="F34:G34"/>
    <mergeCell ref="F35:G35"/>
    <mergeCell ref="F36:G36"/>
    <mergeCell ref="F37:G37"/>
    <mergeCell ref="A38:A43"/>
    <mergeCell ref="F38:G38"/>
    <mergeCell ref="F39:G39"/>
    <mergeCell ref="F40:G40"/>
    <mergeCell ref="F41:G41"/>
    <mergeCell ref="F42:G42"/>
    <mergeCell ref="F43:G43"/>
    <mergeCell ref="F44:G44"/>
    <mergeCell ref="A45:A50"/>
    <mergeCell ref="F45:G45"/>
    <mergeCell ref="F46:G46"/>
    <mergeCell ref="F47:G47"/>
    <mergeCell ref="F48:G48"/>
    <mergeCell ref="F49:G49"/>
    <mergeCell ref="F50:G50"/>
    <mergeCell ref="A64:B64"/>
    <mergeCell ref="F64:G64"/>
    <mergeCell ref="F51:G51"/>
    <mergeCell ref="A52:A59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A62:B62"/>
    <mergeCell ref="F62:G62"/>
    <mergeCell ref="F63:G63"/>
    <mergeCell ref="A65:B65"/>
    <mergeCell ref="F65:G65"/>
    <mergeCell ref="A66:B66"/>
    <mergeCell ref="F66:G66"/>
    <mergeCell ref="A67:B67"/>
    <mergeCell ref="F67:G67"/>
    <mergeCell ref="A74:B74"/>
    <mergeCell ref="A75:B75"/>
    <mergeCell ref="A76:B76"/>
    <mergeCell ref="A68:B68"/>
    <mergeCell ref="A69:B69"/>
    <mergeCell ref="A70:B70"/>
    <mergeCell ref="A71:B71"/>
    <mergeCell ref="A72:B72"/>
    <mergeCell ref="A73:B73"/>
  </mergeCells>
  <conditionalFormatting sqref="C67">
    <cfRule type="cellIs" dxfId="31" priority="19" operator="greaterThan">
      <formula>0</formula>
    </cfRule>
    <cfRule type="cellIs" dxfId="30" priority="20" operator="lessThan">
      <formula>0</formula>
    </cfRule>
  </conditionalFormatting>
  <conditionalFormatting sqref="E25">
    <cfRule type="cellIs" dxfId="29" priority="17" operator="lessThan">
      <formula>0.35</formula>
    </cfRule>
    <cfRule type="cellIs" dxfId="28" priority="18" operator="greaterThan">
      <formula>0.35</formula>
    </cfRule>
  </conditionalFormatting>
  <conditionalFormatting sqref="E30">
    <cfRule type="cellIs" dxfId="27" priority="15" operator="lessThan">
      <formula>$A$27</formula>
    </cfRule>
    <cfRule type="cellIs" dxfId="26" priority="16" operator="greaterThan">
      <formula>$A$27</formula>
    </cfRule>
  </conditionalFormatting>
  <conditionalFormatting sqref="E36">
    <cfRule type="cellIs" dxfId="25" priority="11" operator="lessThan">
      <formula>$A$32</formula>
    </cfRule>
    <cfRule type="cellIs" dxfId="24" priority="12" operator="greaterThan">
      <formula>$A$32</formula>
    </cfRule>
    <cfRule type="cellIs" dxfId="23" priority="13" operator="lessThan">
      <formula>"$A$25"</formula>
    </cfRule>
    <cfRule type="cellIs" dxfId="22" priority="14" operator="greaterThan">
      <formula>$A$32</formula>
    </cfRule>
  </conditionalFormatting>
  <conditionalFormatting sqref="E43">
    <cfRule type="cellIs" dxfId="21" priority="9" operator="lessThan">
      <formula>$A$38</formula>
    </cfRule>
    <cfRule type="cellIs" dxfId="20" priority="10" operator="greaterThan">
      <formula>$A$38</formula>
    </cfRule>
  </conditionalFormatting>
  <conditionalFormatting sqref="E50">
    <cfRule type="cellIs" dxfId="19" priority="7" operator="lessThan">
      <formula>$A$45</formula>
    </cfRule>
    <cfRule type="cellIs" dxfId="18" priority="8" operator="greaterThan">
      <formula>$A$45</formula>
    </cfRule>
  </conditionalFormatting>
  <conditionalFormatting sqref="E59">
    <cfRule type="cellIs" dxfId="17" priority="5" operator="lessThan">
      <formula>$A$52</formula>
    </cfRule>
    <cfRule type="cellIs" dxfId="16" priority="6" operator="greaterThan">
      <formula>$A$52</formula>
    </cfRule>
  </conditionalFormatting>
  <conditionalFormatting sqref="E13">
    <cfRule type="cellIs" dxfId="15" priority="3" operator="lessThan">
      <formula>$A$13</formula>
    </cfRule>
    <cfRule type="cellIs" dxfId="14" priority="4" operator="greaterThan">
      <formula>$A$13</formula>
    </cfRule>
  </conditionalFormatting>
  <conditionalFormatting sqref="E18">
    <cfRule type="cellIs" dxfId="13" priority="1" operator="lessThan">
      <formula>$A$15</formula>
    </cfRule>
    <cfRule type="cellIs" dxfId="12" priority="2" operator="greaterThan">
      <formula>$A$15</formula>
    </cfRule>
    <cfRule type="cellIs" dxfId="11" priority="21" operator="lessThan">
      <formula>$A$15</formula>
    </cfRule>
    <cfRule type="cellIs" dxfId="10" priority="22" operator="greaterThan">
      <formula>$A$15</formula>
    </cfRule>
    <cfRule type="cellIs" dxfId="9" priority="23" operator="lessThan">
      <formula>"$A$54"</formula>
    </cfRule>
    <cfRule type="cellIs" dxfId="8" priority="24" operator="greaterThan">
      <formula>$A$13</formula>
    </cfRule>
  </conditionalFormatting>
  <pageMargins left="0.7" right="0.7" top="0.75" bottom="0.75" header="0.3" footer="0.3"/>
  <pageSetup scale="4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0CA90-3F6F-4A12-A8AA-52EECD75119F}">
  <sheetPr>
    <tabColor rgb="FF92D050"/>
  </sheetPr>
  <dimension ref="A1:X131"/>
  <sheetViews>
    <sheetView zoomScale="40" zoomScaleNormal="40" workbookViewId="0">
      <selection activeCell="F18" sqref="F18:G18"/>
    </sheetView>
  </sheetViews>
  <sheetFormatPr baseColWidth="10" defaultColWidth="0" defaultRowHeight="0" customHeight="1" zeroHeight="1" x14ac:dyDescent="0.2"/>
  <cols>
    <col min="1" max="1" width="38.85546875" style="350" customWidth="1"/>
    <col min="2" max="2" width="24.140625" style="350" customWidth="1"/>
    <col min="3" max="3" width="47" style="350" customWidth="1"/>
    <col min="4" max="4" width="7.5703125" style="350" customWidth="1"/>
    <col min="5" max="24" width="6.5703125" style="350" hidden="1" customWidth="1"/>
    <col min="25" max="16384" width="11.42578125" style="350" hidden="1"/>
  </cols>
  <sheetData>
    <row r="1" spans="1:12" ht="18.75" customHeight="1" x14ac:dyDescent="0.2">
      <c r="A1" s="459" t="s">
        <v>231</v>
      </c>
      <c r="B1" s="459"/>
      <c r="C1" s="459"/>
      <c r="D1" s="349"/>
    </row>
    <row r="2" spans="1:12" ht="15.75" x14ac:dyDescent="0.2">
      <c r="A2" s="460"/>
      <c r="B2" s="460"/>
      <c r="C2" s="460"/>
      <c r="D2" s="351"/>
      <c r="E2" s="351"/>
      <c r="F2" s="351"/>
      <c r="G2" s="351"/>
      <c r="H2" s="351"/>
      <c r="I2" s="351"/>
      <c r="J2" s="351"/>
      <c r="K2" s="351"/>
      <c r="L2" s="351"/>
    </row>
    <row r="3" spans="1:12" s="354" customFormat="1" ht="15.75" x14ac:dyDescent="0.2">
      <c r="A3" s="461" t="s">
        <v>232</v>
      </c>
      <c r="B3" s="462"/>
      <c r="C3" s="463"/>
      <c r="D3" s="352"/>
      <c r="E3" s="353"/>
      <c r="F3" s="353"/>
      <c r="G3" s="353"/>
      <c r="H3" s="353"/>
      <c r="I3" s="353"/>
      <c r="J3" s="353"/>
      <c r="K3" s="353"/>
      <c r="L3" s="353"/>
    </row>
    <row r="4" spans="1:12" s="354" customFormat="1" ht="15.75" x14ac:dyDescent="0.2">
      <c r="A4" s="464" t="s">
        <v>233</v>
      </c>
      <c r="B4" s="465"/>
      <c r="C4" s="466"/>
      <c r="D4" s="352"/>
      <c r="E4" s="353"/>
      <c r="F4" s="353"/>
      <c r="G4" s="353"/>
      <c r="H4" s="353"/>
      <c r="I4" s="353"/>
      <c r="J4" s="353"/>
      <c r="K4" s="353"/>
      <c r="L4" s="353"/>
    </row>
    <row r="5" spans="1:12" s="354" customFormat="1" ht="31.5" customHeight="1" x14ac:dyDescent="0.2">
      <c r="A5" s="464" t="s">
        <v>234</v>
      </c>
      <c r="B5" s="465"/>
      <c r="C5" s="466"/>
      <c r="D5" s="352"/>
      <c r="E5" s="353"/>
      <c r="F5" s="353"/>
      <c r="G5" s="353"/>
      <c r="H5" s="353"/>
      <c r="I5" s="353"/>
      <c r="J5" s="353"/>
      <c r="K5" s="353"/>
      <c r="L5" s="353"/>
    </row>
    <row r="6" spans="1:12" s="354" customFormat="1" ht="31.5" customHeight="1" x14ac:dyDescent="0.2">
      <c r="A6" s="464" t="s">
        <v>235</v>
      </c>
      <c r="B6" s="465"/>
      <c r="C6" s="466"/>
      <c r="D6" s="352"/>
      <c r="E6" s="353"/>
      <c r="F6" s="353"/>
      <c r="G6" s="353"/>
      <c r="H6" s="353"/>
      <c r="I6" s="353"/>
      <c r="J6" s="353"/>
      <c r="K6" s="353"/>
      <c r="L6" s="353"/>
    </row>
    <row r="7" spans="1:12" s="354" customFormat="1" ht="15.75" x14ac:dyDescent="0.2">
      <c r="A7" s="467" t="s">
        <v>236</v>
      </c>
      <c r="B7" s="468"/>
      <c r="C7" s="469"/>
      <c r="D7" s="352"/>
      <c r="E7" s="353"/>
      <c r="F7" s="353"/>
      <c r="G7" s="353"/>
      <c r="H7" s="353"/>
      <c r="I7" s="353"/>
      <c r="J7" s="353"/>
      <c r="K7" s="353"/>
      <c r="L7" s="353"/>
    </row>
    <row r="8" spans="1:12" ht="27" customHeight="1" thickBot="1" x14ac:dyDescent="0.25">
      <c r="A8" s="351"/>
      <c r="B8" s="351"/>
      <c r="C8" s="351"/>
      <c r="D8" s="351"/>
      <c r="E8" s="351"/>
      <c r="F8" s="351"/>
      <c r="G8" s="351"/>
      <c r="H8" s="351"/>
      <c r="I8" s="351"/>
      <c r="J8" s="351"/>
      <c r="K8" s="351"/>
      <c r="L8" s="351"/>
    </row>
    <row r="9" spans="1:12" ht="76.5" customHeight="1" thickBot="1" x14ac:dyDescent="0.25">
      <c r="A9" s="355" t="s">
        <v>237</v>
      </c>
      <c r="B9" s="356">
        <v>1000000</v>
      </c>
      <c r="C9" s="357" t="s">
        <v>238</v>
      </c>
      <c r="D9" s="351"/>
      <c r="E9" s="351"/>
      <c r="F9" s="351"/>
      <c r="G9" s="351"/>
      <c r="H9" s="351"/>
      <c r="I9" s="351"/>
      <c r="J9" s="351"/>
      <c r="K9" s="351"/>
      <c r="L9" s="351"/>
    </row>
    <row r="10" spans="1:12" ht="76.5" customHeight="1" thickBot="1" x14ac:dyDescent="0.25">
      <c r="A10" s="358" t="s">
        <v>239</v>
      </c>
      <c r="B10" s="359" t="s">
        <v>240</v>
      </c>
      <c r="C10" s="357" t="s">
        <v>241</v>
      </c>
      <c r="D10" s="351"/>
      <c r="E10" s="351"/>
      <c r="F10" s="351"/>
      <c r="G10" s="351"/>
      <c r="H10" s="351"/>
      <c r="I10" s="351"/>
      <c r="J10" s="351"/>
      <c r="K10" s="351"/>
      <c r="L10" s="351"/>
    </row>
    <row r="11" spans="1:12" ht="76.5" customHeight="1" thickBot="1" x14ac:dyDescent="0.25">
      <c r="A11" s="360" t="s">
        <v>242</v>
      </c>
      <c r="B11" s="359" t="s">
        <v>240</v>
      </c>
      <c r="C11" s="357" t="s">
        <v>243</v>
      </c>
      <c r="D11" s="351"/>
      <c r="E11" s="351"/>
      <c r="F11" s="351"/>
      <c r="G11" s="351"/>
      <c r="H11" s="351"/>
      <c r="I11" s="351"/>
      <c r="J11" s="351"/>
      <c r="K11" s="351"/>
      <c r="L11" s="351"/>
    </row>
    <row r="12" spans="1:12" ht="27" customHeight="1" x14ac:dyDescent="0.2">
      <c r="A12" s="351"/>
      <c r="B12" s="351"/>
      <c r="C12" s="351"/>
      <c r="D12" s="351"/>
      <c r="E12" s="351"/>
      <c r="F12" s="351"/>
      <c r="G12" s="351"/>
      <c r="H12" s="351"/>
      <c r="I12" s="351"/>
      <c r="J12" s="351"/>
      <c r="K12" s="351"/>
      <c r="L12" s="351"/>
    </row>
    <row r="13" spans="1:12" ht="31.5" customHeight="1" x14ac:dyDescent="0.2">
      <c r="A13" s="456" t="s">
        <v>244</v>
      </c>
      <c r="B13" s="457"/>
      <c r="C13" s="458"/>
      <c r="D13" s="351"/>
      <c r="E13" s="351"/>
      <c r="F13" s="351"/>
      <c r="G13" s="351"/>
      <c r="H13" s="351"/>
      <c r="I13" s="351"/>
      <c r="J13" s="351"/>
      <c r="K13" s="351"/>
      <c r="L13" s="351"/>
    </row>
    <row r="14" spans="1:12" ht="15.75" x14ac:dyDescent="0.2">
      <c r="A14" s="450" t="s">
        <v>245</v>
      </c>
      <c r="B14" s="451"/>
      <c r="C14" s="452"/>
      <c r="D14" s="351"/>
      <c r="E14" s="351"/>
      <c r="F14" s="351"/>
      <c r="G14" s="351"/>
      <c r="H14" s="351"/>
      <c r="I14" s="351"/>
      <c r="J14" s="351"/>
      <c r="K14" s="351"/>
      <c r="L14" s="351"/>
    </row>
    <row r="15" spans="1:12" ht="15.75" x14ac:dyDescent="0.2">
      <c r="A15" s="450" t="s">
        <v>246</v>
      </c>
      <c r="B15" s="451"/>
      <c r="C15" s="452"/>
      <c r="D15" s="351"/>
      <c r="E15" s="351"/>
      <c r="F15" s="351"/>
      <c r="G15" s="351"/>
      <c r="H15" s="351"/>
      <c r="I15" s="351"/>
      <c r="J15" s="351"/>
      <c r="K15" s="351"/>
      <c r="L15" s="351"/>
    </row>
    <row r="16" spans="1:12" ht="15.75" x14ac:dyDescent="0.2">
      <c r="A16" s="450" t="s">
        <v>247</v>
      </c>
      <c r="B16" s="451"/>
      <c r="C16" s="452"/>
      <c r="D16" s="351"/>
      <c r="E16" s="351"/>
      <c r="F16" s="351"/>
      <c r="G16" s="351"/>
      <c r="H16" s="351"/>
      <c r="I16" s="351"/>
      <c r="J16" s="351"/>
      <c r="K16" s="351"/>
      <c r="L16" s="351"/>
    </row>
    <row r="17" spans="1:12" ht="15.75" x14ac:dyDescent="0.2">
      <c r="A17" s="453" t="s">
        <v>248</v>
      </c>
      <c r="B17" s="454"/>
      <c r="C17" s="455"/>
      <c r="D17" s="351"/>
      <c r="E17" s="351"/>
      <c r="F17" s="351"/>
      <c r="G17" s="351"/>
      <c r="H17" s="351"/>
      <c r="I17" s="351"/>
      <c r="J17" s="351"/>
      <c r="K17" s="351"/>
      <c r="L17" s="351"/>
    </row>
    <row r="18" spans="1:12" ht="26.25" customHeight="1" x14ac:dyDescent="0.2">
      <c r="A18" s="351"/>
      <c r="B18" s="351"/>
      <c r="C18" s="351"/>
      <c r="D18" s="351"/>
      <c r="E18" s="351"/>
      <c r="F18" s="351"/>
      <c r="G18" s="351"/>
      <c r="H18" s="351"/>
      <c r="I18" s="351"/>
      <c r="J18" s="351"/>
      <c r="K18" s="351"/>
      <c r="L18" s="351"/>
    </row>
    <row r="19" spans="1:12" ht="21.75" customHeight="1" x14ac:dyDescent="0.2">
      <c r="A19" s="456" t="s">
        <v>249</v>
      </c>
      <c r="B19" s="457"/>
      <c r="C19" s="458"/>
      <c r="D19" s="351"/>
      <c r="E19" s="351"/>
      <c r="F19" s="351"/>
      <c r="G19" s="351"/>
      <c r="H19" s="351"/>
      <c r="I19" s="351"/>
      <c r="J19" s="351"/>
      <c r="K19" s="351"/>
      <c r="L19" s="351"/>
    </row>
    <row r="20" spans="1:12" ht="15.75" x14ac:dyDescent="0.2">
      <c r="A20" s="450" t="s">
        <v>250</v>
      </c>
      <c r="B20" s="451"/>
      <c r="C20" s="452"/>
      <c r="D20" s="351"/>
      <c r="E20" s="351"/>
      <c r="F20" s="351"/>
      <c r="G20" s="351"/>
      <c r="H20" s="351"/>
      <c r="I20" s="351"/>
      <c r="J20" s="351"/>
      <c r="K20" s="351"/>
      <c r="L20" s="351"/>
    </row>
    <row r="21" spans="1:12" ht="15.75" x14ac:dyDescent="0.2">
      <c r="A21" s="450" t="s">
        <v>251</v>
      </c>
      <c r="B21" s="451"/>
      <c r="C21" s="452"/>
      <c r="D21" s="351"/>
      <c r="E21" s="351"/>
      <c r="F21" s="351"/>
      <c r="G21" s="351"/>
      <c r="H21" s="351"/>
      <c r="I21" s="351"/>
      <c r="J21" s="351"/>
      <c r="K21" s="351"/>
      <c r="L21" s="351"/>
    </row>
    <row r="22" spans="1:12" ht="15.75" x14ac:dyDescent="0.2">
      <c r="A22" s="453" t="s">
        <v>252</v>
      </c>
      <c r="B22" s="454"/>
      <c r="C22" s="455"/>
      <c r="D22" s="351"/>
      <c r="E22" s="351"/>
      <c r="F22" s="351"/>
      <c r="G22" s="351"/>
      <c r="H22" s="351"/>
      <c r="I22" s="351"/>
      <c r="J22" s="351"/>
      <c r="K22" s="351"/>
      <c r="L22" s="351"/>
    </row>
    <row r="23" spans="1:12" ht="26.25" customHeight="1" x14ac:dyDescent="0.2">
      <c r="A23" s="351"/>
      <c r="B23" s="351"/>
      <c r="C23" s="351"/>
      <c r="D23" s="351"/>
      <c r="E23" s="351"/>
      <c r="F23" s="351"/>
      <c r="G23" s="351"/>
      <c r="H23" s="351"/>
      <c r="I23" s="351"/>
      <c r="J23" s="351"/>
      <c r="K23" s="351"/>
      <c r="L23" s="351"/>
    </row>
    <row r="24" spans="1:12" ht="26.25" hidden="1" customHeight="1" x14ac:dyDescent="0.2">
      <c r="A24" s="351"/>
      <c r="B24" s="351"/>
      <c r="C24" s="351"/>
      <c r="D24" s="351"/>
      <c r="E24" s="351"/>
      <c r="F24" s="351"/>
      <c r="G24" s="351"/>
      <c r="H24" s="351"/>
      <c r="I24" s="351"/>
      <c r="J24" s="351"/>
      <c r="K24" s="351"/>
      <c r="L24" s="351"/>
    </row>
    <row r="25" spans="1:12" ht="26.25" hidden="1" customHeight="1" x14ac:dyDescent="0.2">
      <c r="A25" s="351"/>
      <c r="B25" s="351"/>
      <c r="C25" s="351"/>
      <c r="D25" s="351"/>
      <c r="E25" s="351"/>
      <c r="F25" s="351"/>
      <c r="G25" s="351"/>
      <c r="H25" s="351"/>
      <c r="I25" s="351"/>
      <c r="J25" s="351"/>
      <c r="K25" s="351"/>
      <c r="L25" s="351"/>
    </row>
    <row r="26" spans="1:12" ht="26.25" hidden="1" customHeight="1" x14ac:dyDescent="0.2">
      <c r="A26" s="351"/>
      <c r="B26" s="351"/>
      <c r="C26" s="351"/>
      <c r="D26" s="351"/>
      <c r="E26" s="351"/>
      <c r="F26" s="351"/>
      <c r="G26" s="351"/>
      <c r="H26" s="351"/>
      <c r="I26" s="351"/>
      <c r="J26" s="351"/>
      <c r="K26" s="351"/>
      <c r="L26" s="351"/>
    </row>
    <row r="27" spans="1:12" ht="26.25" hidden="1" customHeight="1" x14ac:dyDescent="0.2"/>
    <row r="28" spans="1:12" ht="26.25" hidden="1" customHeight="1" x14ac:dyDescent="0.2"/>
    <row r="29" spans="1:12" ht="26.25" hidden="1" customHeight="1" x14ac:dyDescent="0.2"/>
    <row r="30" spans="1:12" ht="26.25" hidden="1" customHeight="1" x14ac:dyDescent="0.2"/>
    <row r="31" spans="1:12" ht="26.25" hidden="1" customHeight="1" x14ac:dyDescent="0.2"/>
    <row r="32" spans="1:12" ht="26.25" hidden="1" customHeight="1" x14ac:dyDescent="0.2"/>
    <row r="33" ht="26.25" hidden="1" customHeight="1" x14ac:dyDescent="0.2"/>
    <row r="34" ht="26.25" hidden="1" customHeight="1" x14ac:dyDescent="0.2"/>
    <row r="35" ht="26.25" hidden="1" customHeight="1" x14ac:dyDescent="0.2"/>
    <row r="36" ht="26.25" hidden="1" customHeight="1" x14ac:dyDescent="0.2"/>
    <row r="37" ht="26.25" hidden="1" customHeight="1" x14ac:dyDescent="0.2"/>
    <row r="38" ht="26.25" hidden="1" customHeight="1" x14ac:dyDescent="0.2"/>
    <row r="39" ht="26.25" hidden="1" customHeight="1" x14ac:dyDescent="0.2"/>
    <row r="40" ht="26.25" hidden="1" customHeight="1" x14ac:dyDescent="0.2"/>
    <row r="41" ht="26.25" hidden="1" customHeight="1" x14ac:dyDescent="0.2"/>
    <row r="42" ht="26.25" hidden="1" customHeight="1" x14ac:dyDescent="0.2"/>
    <row r="43" ht="26.25" hidden="1" customHeight="1" x14ac:dyDescent="0.2"/>
    <row r="44" ht="26.25" hidden="1" customHeight="1" x14ac:dyDescent="0.2"/>
    <row r="45" ht="26.25" hidden="1" customHeight="1" x14ac:dyDescent="0.2"/>
    <row r="46" ht="26.25" hidden="1" customHeight="1" x14ac:dyDescent="0.2"/>
    <row r="47" ht="26.25" hidden="1" customHeight="1" x14ac:dyDescent="0.2"/>
    <row r="48" ht="26.25" hidden="1" customHeight="1" x14ac:dyDescent="0.2"/>
    <row r="49" ht="26.25" hidden="1" customHeight="1" x14ac:dyDescent="0.2"/>
    <row r="50" ht="26.25" hidden="1" customHeight="1" x14ac:dyDescent="0.2"/>
    <row r="51" ht="26.25" hidden="1" customHeight="1" x14ac:dyDescent="0.2"/>
    <row r="52" ht="26.25" hidden="1" customHeight="1" x14ac:dyDescent="0.2"/>
    <row r="53" ht="26.25" hidden="1" customHeight="1" x14ac:dyDescent="0.2"/>
    <row r="54" ht="26.25" hidden="1" customHeight="1" x14ac:dyDescent="0.2"/>
    <row r="55" ht="26.25" hidden="1" customHeight="1" x14ac:dyDescent="0.2"/>
    <row r="56" ht="26.25" hidden="1" customHeight="1" x14ac:dyDescent="0.2"/>
    <row r="57" ht="26.25" hidden="1" customHeight="1" x14ac:dyDescent="0.2"/>
    <row r="58" ht="26.25" hidden="1" customHeight="1" x14ac:dyDescent="0.2"/>
    <row r="59" ht="26.25" hidden="1" customHeight="1" x14ac:dyDescent="0.2"/>
    <row r="60" ht="26.25" hidden="1" customHeight="1" x14ac:dyDescent="0.2"/>
    <row r="61" ht="26.25" hidden="1" customHeight="1" x14ac:dyDescent="0.2"/>
    <row r="62" ht="26.25" hidden="1" customHeight="1" x14ac:dyDescent="0.2"/>
    <row r="63" ht="26.25" hidden="1" customHeight="1" x14ac:dyDescent="0.2"/>
    <row r="64" ht="26.25" hidden="1" customHeight="1" x14ac:dyDescent="0.2"/>
    <row r="65" ht="26.25" hidden="1" customHeight="1" x14ac:dyDescent="0.2"/>
    <row r="66" ht="26.25" hidden="1" customHeight="1" x14ac:dyDescent="0.2"/>
    <row r="67" ht="26.25" hidden="1" customHeight="1" x14ac:dyDescent="0.2"/>
    <row r="68" ht="26.25" hidden="1" customHeight="1" x14ac:dyDescent="0.2"/>
    <row r="69" ht="26.25" hidden="1" customHeight="1" x14ac:dyDescent="0.2"/>
    <row r="70" ht="26.25" hidden="1" customHeight="1" x14ac:dyDescent="0.2"/>
    <row r="71" ht="26.25" hidden="1" customHeight="1" x14ac:dyDescent="0.2"/>
    <row r="72" ht="26.25" hidden="1" customHeight="1" x14ac:dyDescent="0.2"/>
    <row r="73" ht="26.25" hidden="1" customHeight="1" x14ac:dyDescent="0.2"/>
    <row r="74" ht="26.25" hidden="1" customHeight="1" x14ac:dyDescent="0.2"/>
    <row r="75" ht="26.25" hidden="1" customHeight="1" x14ac:dyDescent="0.2"/>
    <row r="76" ht="26.25" hidden="1" customHeight="1" x14ac:dyDescent="0.2"/>
    <row r="77" ht="26.25" hidden="1" customHeight="1" x14ac:dyDescent="0.2"/>
    <row r="78" ht="26.25" hidden="1" customHeight="1" x14ac:dyDescent="0.2"/>
    <row r="79" ht="26.25" hidden="1" customHeight="1" x14ac:dyDescent="0.2"/>
    <row r="80" ht="26.25" hidden="1" customHeight="1" x14ac:dyDescent="0.2"/>
    <row r="81" ht="26.25" hidden="1" customHeight="1" x14ac:dyDescent="0.2"/>
    <row r="82" ht="26.25" hidden="1" customHeight="1" x14ac:dyDescent="0.2"/>
    <row r="83" ht="26.25" hidden="1" customHeight="1" x14ac:dyDescent="0.2"/>
    <row r="84" ht="26.25" hidden="1" customHeight="1" x14ac:dyDescent="0.2"/>
    <row r="85" ht="26.25" hidden="1" customHeight="1" x14ac:dyDescent="0.2"/>
    <row r="86" ht="26.25" hidden="1" customHeight="1" x14ac:dyDescent="0.2"/>
    <row r="87" ht="26.25" hidden="1" customHeight="1" x14ac:dyDescent="0.2"/>
    <row r="88" ht="26.25" hidden="1" customHeight="1" x14ac:dyDescent="0.2"/>
    <row r="89" ht="26.25" hidden="1" customHeight="1" x14ac:dyDescent="0.2"/>
    <row r="90" ht="26.25" hidden="1" customHeight="1" x14ac:dyDescent="0.2"/>
    <row r="91" ht="26.25" hidden="1" customHeight="1" x14ac:dyDescent="0.2"/>
    <row r="92" ht="26.25" hidden="1" customHeight="1" x14ac:dyDescent="0.2"/>
    <row r="93" ht="26.25" hidden="1" customHeight="1" x14ac:dyDescent="0.2"/>
    <row r="94" ht="26.25" hidden="1" customHeight="1" x14ac:dyDescent="0.2"/>
    <row r="95" ht="26.25" hidden="1" customHeight="1" x14ac:dyDescent="0.2"/>
    <row r="96" ht="26.25" hidden="1" customHeight="1" x14ac:dyDescent="0.2"/>
    <row r="97" ht="26.25" hidden="1" customHeight="1" x14ac:dyDescent="0.2"/>
    <row r="98" ht="26.25" hidden="1" customHeight="1" x14ac:dyDescent="0.2"/>
    <row r="99" ht="26.25" hidden="1" customHeight="1" x14ac:dyDescent="0.2"/>
    <row r="100" ht="26.25" hidden="1" customHeight="1" x14ac:dyDescent="0.2"/>
    <row r="101" ht="26.25" hidden="1" customHeight="1" x14ac:dyDescent="0.2"/>
    <row r="102" ht="26.25" hidden="1" customHeight="1" x14ac:dyDescent="0.2"/>
    <row r="103" ht="26.25" hidden="1" customHeight="1" x14ac:dyDescent="0.2"/>
    <row r="104" ht="26.25" hidden="1" customHeight="1" x14ac:dyDescent="0.2"/>
    <row r="105" ht="26.25" hidden="1" customHeight="1" x14ac:dyDescent="0.2"/>
    <row r="106" ht="26.25" hidden="1" customHeight="1" x14ac:dyDescent="0.2"/>
    <row r="107" ht="26.25" hidden="1" customHeight="1" x14ac:dyDescent="0.2"/>
    <row r="108" ht="26.25" hidden="1" customHeight="1" x14ac:dyDescent="0.2"/>
    <row r="109" ht="26.25" hidden="1" customHeight="1" x14ac:dyDescent="0.2"/>
    <row r="110" ht="26.25" hidden="1" customHeight="1" x14ac:dyDescent="0.2"/>
    <row r="111" ht="26.25" hidden="1" customHeight="1" x14ac:dyDescent="0.2"/>
    <row r="112" ht="26.25" hidden="1" customHeight="1" x14ac:dyDescent="0.2"/>
    <row r="113" ht="26.25" hidden="1" customHeight="1" x14ac:dyDescent="0.2"/>
    <row r="114" ht="26.25" hidden="1" customHeight="1" x14ac:dyDescent="0.2"/>
    <row r="115" ht="26.25" hidden="1" customHeight="1" x14ac:dyDescent="0.2"/>
    <row r="116" ht="26.25" hidden="1" customHeight="1" x14ac:dyDescent="0.2"/>
    <row r="117" ht="26.25" hidden="1" customHeight="1" x14ac:dyDescent="0.2"/>
    <row r="118" ht="26.25" hidden="1" customHeight="1" x14ac:dyDescent="0.2"/>
    <row r="119" ht="26.25" hidden="1" customHeight="1" x14ac:dyDescent="0.2"/>
    <row r="120" ht="26.25" hidden="1" customHeight="1" x14ac:dyDescent="0.2"/>
    <row r="121" ht="26.25" hidden="1" customHeight="1" x14ac:dyDescent="0.2"/>
    <row r="122" ht="26.25" hidden="1" customHeight="1" x14ac:dyDescent="0.2"/>
    <row r="123" ht="26.25" hidden="1" customHeight="1" x14ac:dyDescent="0.2"/>
    <row r="124" ht="26.25" hidden="1" customHeight="1" x14ac:dyDescent="0.2"/>
    <row r="125" ht="26.25" hidden="1" customHeight="1" x14ac:dyDescent="0.2"/>
    <row r="126" ht="26.25" hidden="1" customHeight="1" x14ac:dyDescent="0.2"/>
    <row r="127" ht="26.25" hidden="1" customHeight="1" x14ac:dyDescent="0.2"/>
    <row r="128" ht="26.25" hidden="1" customHeight="1" x14ac:dyDescent="0.2"/>
    <row r="129" ht="26.25" hidden="1" customHeight="1" x14ac:dyDescent="0.2"/>
    <row r="130" ht="26.25" hidden="1" customHeight="1" x14ac:dyDescent="0.2"/>
    <row r="131" ht="26.25" hidden="1" customHeight="1" x14ac:dyDescent="0.2"/>
  </sheetData>
  <mergeCells count="15">
    <mergeCell ref="A7:C7"/>
    <mergeCell ref="A1:C2"/>
    <mergeCell ref="A3:C3"/>
    <mergeCell ref="A4:C4"/>
    <mergeCell ref="A5:C5"/>
    <mergeCell ref="A6:C6"/>
    <mergeCell ref="A20:C20"/>
    <mergeCell ref="A21:C21"/>
    <mergeCell ref="A22:C22"/>
    <mergeCell ref="A13:C13"/>
    <mergeCell ref="A14:C14"/>
    <mergeCell ref="A15:C15"/>
    <mergeCell ref="A16:C16"/>
    <mergeCell ref="A17:C17"/>
    <mergeCell ref="A19:C1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0004C-3656-47B5-A1CF-722E8CFDE12A}">
  <sheetPr>
    <tabColor rgb="FF92D050"/>
  </sheetPr>
  <dimension ref="A1:AO170"/>
  <sheetViews>
    <sheetView topLeftCell="A24" zoomScale="115" zoomScaleNormal="115" workbookViewId="0">
      <selection activeCell="F18" sqref="F18:G18"/>
    </sheetView>
  </sheetViews>
  <sheetFormatPr baseColWidth="10" defaultColWidth="0" defaultRowHeight="15.75" customHeight="1" zeroHeight="1" x14ac:dyDescent="0.2"/>
  <cols>
    <col min="1" max="15" width="7.28515625" style="350" customWidth="1"/>
    <col min="16" max="16" width="7.140625" style="350" customWidth="1"/>
    <col min="17" max="19" width="7.28515625" style="350" customWidth="1"/>
    <col min="20" max="20" width="6.5703125" style="350" customWidth="1"/>
    <col min="21" max="26" width="6.5703125" style="350" hidden="1" customWidth="1"/>
    <col min="27" max="27" width="13.140625" style="350" hidden="1" customWidth="1"/>
    <col min="28" max="41" width="6.5703125" style="350" hidden="1" customWidth="1"/>
    <col min="42" max="16384" width="11.42578125" style="350" hidden="1"/>
  </cols>
  <sheetData>
    <row r="1" spans="1:20" x14ac:dyDescent="0.2">
      <c r="A1" s="520"/>
      <c r="B1" s="520"/>
      <c r="C1" s="520"/>
      <c r="D1" s="520"/>
      <c r="E1" s="361"/>
      <c r="F1" s="361"/>
      <c r="G1" s="361"/>
      <c r="H1" s="361"/>
      <c r="I1" s="361"/>
      <c r="J1" s="361"/>
      <c r="L1" s="361"/>
      <c r="M1" s="361"/>
      <c r="N1" s="361"/>
      <c r="O1" s="361"/>
      <c r="P1" s="361"/>
      <c r="Q1" s="361"/>
      <c r="R1" s="361"/>
      <c r="S1" s="361"/>
      <c r="T1" s="361"/>
    </row>
    <row r="2" spans="1:20" ht="21.75" customHeight="1" x14ac:dyDescent="0.2">
      <c r="A2" s="511" t="s">
        <v>253</v>
      </c>
      <c r="B2" s="511"/>
      <c r="C2" s="511"/>
      <c r="D2" s="511"/>
      <c r="E2" s="511"/>
      <c r="F2" s="511"/>
      <c r="G2" s="511"/>
      <c r="H2" s="511"/>
      <c r="I2" s="362" t="str">
        <f>+B17</f>
        <v>GESCO</v>
      </c>
      <c r="J2" s="362"/>
      <c r="K2" s="351"/>
      <c r="L2" s="351"/>
    </row>
    <row r="3" spans="1:20" ht="21.75" customHeight="1" x14ac:dyDescent="0.2">
      <c r="A3" s="511" t="s">
        <v>41</v>
      </c>
      <c r="B3" s="511"/>
      <c r="C3" s="511"/>
      <c r="D3" s="511"/>
      <c r="E3" s="511"/>
      <c r="F3" s="511"/>
      <c r="G3" s="511"/>
      <c r="H3" s="511"/>
      <c r="I3" s="362" t="s">
        <v>221</v>
      </c>
      <c r="J3" s="362"/>
      <c r="K3" s="351"/>
      <c r="L3" s="351"/>
    </row>
    <row r="4" spans="1:20" ht="21.75" customHeight="1" x14ac:dyDescent="0.2">
      <c r="A4" s="511" t="s">
        <v>254</v>
      </c>
      <c r="B4" s="511"/>
      <c r="C4" s="511"/>
      <c r="D4" s="511"/>
      <c r="E4" s="511"/>
      <c r="F4" s="511"/>
      <c r="G4" s="511"/>
      <c r="H4" s="511"/>
      <c r="I4" s="351" t="str">
        <f>+I3</f>
        <v>propriétaire</v>
      </c>
      <c r="J4" s="351"/>
      <c r="K4" s="351"/>
      <c r="L4" s="351"/>
    </row>
    <row r="5" spans="1:20" ht="21.75" customHeight="1" x14ac:dyDescent="0.2">
      <c r="A5" s="511" t="s">
        <v>255</v>
      </c>
      <c r="B5" s="511"/>
      <c r="C5" s="511"/>
      <c r="D5" s="511"/>
      <c r="E5" s="511"/>
      <c r="F5" s="511"/>
      <c r="G5" s="511"/>
      <c r="H5" s="511"/>
      <c r="I5" s="351" t="str">
        <f>+I2</f>
        <v>GESCO</v>
      </c>
      <c r="J5" s="351"/>
      <c r="K5" s="351"/>
      <c r="L5" s="351"/>
    </row>
    <row r="6" spans="1:20" ht="21.75" customHeight="1" x14ac:dyDescent="0.2">
      <c r="A6" s="511" t="s">
        <v>256</v>
      </c>
      <c r="B6" s="511"/>
      <c r="C6" s="511"/>
      <c r="D6" s="511"/>
      <c r="E6" s="511"/>
      <c r="F6" s="511"/>
      <c r="G6" s="511"/>
      <c r="H6" s="511"/>
      <c r="I6" s="351" t="str">
        <f>+I2</f>
        <v>GESCO</v>
      </c>
      <c r="J6" s="351"/>
      <c r="K6" s="351"/>
      <c r="L6" s="351"/>
    </row>
    <row r="7" spans="1:20" ht="21.75" customHeight="1" x14ac:dyDescent="0.2">
      <c r="A7" s="511" t="s">
        <v>257</v>
      </c>
      <c r="B7" s="511"/>
      <c r="C7" s="511"/>
      <c r="D7" s="511"/>
      <c r="E7" s="511"/>
      <c r="F7" s="511"/>
      <c r="G7" s="511"/>
      <c r="H7" s="511"/>
      <c r="I7" s="351" t="str">
        <f>+I4</f>
        <v>propriétaire</v>
      </c>
      <c r="J7" s="351"/>
      <c r="K7" s="351"/>
      <c r="L7" s="351"/>
    </row>
    <row r="8" spans="1:20" ht="27.75" customHeight="1" thickBot="1" x14ac:dyDescent="0.25">
      <c r="A8" s="511" t="s">
        <v>258</v>
      </c>
      <c r="B8" s="511"/>
      <c r="C8" s="511"/>
      <c r="D8" s="511"/>
      <c r="E8" s="511"/>
      <c r="F8" s="511"/>
      <c r="G8" s="511"/>
      <c r="H8" s="511"/>
      <c r="I8" s="363">
        <v>0.5</v>
      </c>
      <c r="J8" s="363"/>
      <c r="K8" s="351"/>
      <c r="L8" s="351"/>
    </row>
    <row r="9" spans="1:20" ht="53.25" customHeight="1" thickBot="1" x14ac:dyDescent="0.25">
      <c r="A9" s="512" t="s">
        <v>259</v>
      </c>
      <c r="B9" s="513"/>
      <c r="C9" s="513"/>
      <c r="D9" s="513"/>
      <c r="E9" s="513"/>
      <c r="F9" s="513"/>
      <c r="G9" s="513"/>
      <c r="H9" s="513"/>
      <c r="I9" s="513"/>
      <c r="J9" s="513"/>
      <c r="K9" s="513"/>
      <c r="L9" s="513"/>
      <c r="M9" s="514"/>
      <c r="N9" s="514"/>
      <c r="O9" s="514"/>
      <c r="P9" s="514"/>
      <c r="Q9" s="514"/>
      <c r="R9" s="514"/>
      <c r="S9" s="515"/>
    </row>
    <row r="10" spans="1:20" ht="27" customHeight="1" x14ac:dyDescent="0.2">
      <c r="A10" s="364"/>
      <c r="B10" s="365"/>
      <c r="C10" s="365"/>
      <c r="D10" s="365"/>
      <c r="E10" s="365"/>
      <c r="F10" s="365"/>
      <c r="G10" s="365"/>
      <c r="H10" s="365"/>
      <c r="I10" s="365"/>
      <c r="J10" s="365"/>
      <c r="K10" s="365"/>
      <c r="L10" s="365"/>
      <c r="M10" s="366"/>
      <c r="N10" s="366"/>
      <c r="O10" s="366"/>
      <c r="P10" s="366"/>
      <c r="Q10" s="366"/>
      <c r="R10" s="366"/>
      <c r="S10" s="367"/>
    </row>
    <row r="11" spans="1:20" ht="53.25" customHeight="1" x14ac:dyDescent="0.2">
      <c r="A11" s="368"/>
      <c r="B11" s="369"/>
      <c r="C11" s="369"/>
      <c r="D11" s="369"/>
      <c r="E11" s="369"/>
      <c r="F11" s="369"/>
      <c r="G11" s="369"/>
      <c r="H11" s="369"/>
      <c r="I11" s="369"/>
      <c r="J11" s="369"/>
      <c r="K11" s="369"/>
      <c r="L11" s="369"/>
      <c r="M11" s="370"/>
      <c r="N11" s="370"/>
      <c r="O11" s="370"/>
      <c r="P11" s="370"/>
      <c r="Q11" s="370"/>
      <c r="R11" s="370"/>
      <c r="S11" s="371"/>
      <c r="T11" s="361"/>
    </row>
    <row r="12" spans="1:20" ht="25.5" customHeight="1" x14ac:dyDescent="0.2">
      <c r="A12" s="368"/>
      <c r="B12" s="516" t="s">
        <v>260</v>
      </c>
      <c r="C12" s="516"/>
      <c r="D12" s="516"/>
      <c r="E12" s="516"/>
      <c r="F12" s="351"/>
      <c r="G12" s="517" t="s">
        <v>261</v>
      </c>
      <c r="H12" s="517"/>
      <c r="I12" s="517"/>
      <c r="J12" s="517"/>
      <c r="K12" s="517"/>
      <c r="L12" s="517"/>
      <c r="M12" s="518"/>
      <c r="N12" s="361"/>
      <c r="O12" s="519" t="s">
        <v>262</v>
      </c>
      <c r="P12" s="519"/>
      <c r="Q12" s="519"/>
      <c r="R12" s="519"/>
      <c r="S12" s="371"/>
      <c r="T12" s="361"/>
    </row>
    <row r="13" spans="1:20" ht="25.5" customHeight="1" x14ac:dyDescent="0.2">
      <c r="A13" s="368"/>
      <c r="B13" s="351"/>
      <c r="C13" s="505">
        <f>+'AMG propriété partagé analyse'!F4+'AMG propriété partagé analyse'!J4</f>
        <v>10355</v>
      </c>
      <c r="D13" s="505"/>
      <c r="E13" s="372"/>
      <c r="F13" s="373"/>
      <c r="G13" s="373"/>
      <c r="H13" s="373"/>
      <c r="I13" s="505">
        <f>+C13+P13</f>
        <v>15065</v>
      </c>
      <c r="J13" s="505"/>
      <c r="K13" s="505"/>
      <c r="L13" s="372"/>
      <c r="M13" s="374"/>
      <c r="N13" s="374"/>
      <c r="O13" s="375"/>
      <c r="P13" s="506">
        <f>+'AMG propriété partagé analyse'!K4</f>
        <v>4710</v>
      </c>
      <c r="Q13" s="506"/>
      <c r="R13" s="376"/>
      <c r="S13" s="371"/>
      <c r="T13" s="361"/>
    </row>
    <row r="14" spans="1:20" ht="26.25" customHeight="1" x14ac:dyDescent="0.2">
      <c r="A14" s="368"/>
      <c r="B14" s="507">
        <f>+C13/I13</f>
        <v>0.68735479588450055</v>
      </c>
      <c r="C14" s="507"/>
      <c r="D14" s="507"/>
      <c r="E14" s="507"/>
      <c r="F14" s="351"/>
      <c r="G14" s="351"/>
      <c r="H14" s="351"/>
      <c r="I14" s="351"/>
      <c r="J14" s="351"/>
      <c r="K14" s="351"/>
      <c r="L14" s="351"/>
      <c r="M14" s="361"/>
      <c r="N14" s="361"/>
      <c r="O14" s="508">
        <f>+P13/I13</f>
        <v>0.31264520411549951</v>
      </c>
      <c r="P14" s="508"/>
      <c r="Q14" s="508"/>
      <c r="R14" s="508"/>
      <c r="S14" s="371"/>
      <c r="T14" s="361"/>
    </row>
    <row r="15" spans="1:20" ht="26.25" customHeight="1" x14ac:dyDescent="0.2">
      <c r="A15" s="368"/>
      <c r="B15" s="377"/>
      <c r="C15" s="377"/>
      <c r="D15" s="377"/>
      <c r="E15" s="377"/>
      <c r="F15" s="351"/>
      <c r="G15" s="351"/>
      <c r="H15" s="351"/>
      <c r="I15" s="351"/>
      <c r="J15" s="351"/>
      <c r="K15" s="351"/>
      <c r="L15" s="351"/>
      <c r="M15" s="361"/>
      <c r="N15" s="361"/>
      <c r="O15" s="378"/>
      <c r="P15" s="378"/>
      <c r="Q15" s="378"/>
      <c r="R15" s="378"/>
      <c r="S15" s="371"/>
      <c r="T15" s="361"/>
    </row>
    <row r="16" spans="1:20" ht="26.25" customHeight="1" thickBot="1" x14ac:dyDescent="0.25">
      <c r="A16" s="368"/>
      <c r="B16" s="351"/>
      <c r="C16" s="351"/>
      <c r="D16" s="351"/>
      <c r="E16" s="351"/>
      <c r="F16" s="351"/>
      <c r="G16" s="509" t="s">
        <v>263</v>
      </c>
      <c r="H16" s="509"/>
      <c r="I16" s="509"/>
      <c r="J16" s="509"/>
      <c r="K16" s="509"/>
      <c r="L16" s="509"/>
      <c r="M16" s="510"/>
      <c r="N16" s="361"/>
      <c r="O16" s="361"/>
      <c r="P16" s="361"/>
      <c r="Q16" s="361"/>
      <c r="R16" s="361"/>
      <c r="S16" s="371"/>
      <c r="T16" s="361"/>
    </row>
    <row r="17" spans="1:27" ht="26.25" customHeight="1" thickBot="1" x14ac:dyDescent="0.25">
      <c r="A17" s="368"/>
      <c r="B17" s="497" t="s">
        <v>264</v>
      </c>
      <c r="C17" s="498"/>
      <c r="D17" s="498"/>
      <c r="E17" s="499"/>
      <c r="F17" s="351"/>
      <c r="G17" s="353"/>
      <c r="H17" s="500" t="s">
        <v>265</v>
      </c>
      <c r="I17" s="500"/>
      <c r="J17" s="500"/>
      <c r="K17" s="500"/>
      <c r="L17" s="500"/>
      <c r="M17" s="379"/>
      <c r="N17" s="361"/>
      <c r="O17" s="502" t="str">
        <f>+I3</f>
        <v>propriétaire</v>
      </c>
      <c r="P17" s="503"/>
      <c r="Q17" s="503"/>
      <c r="R17" s="504"/>
      <c r="S17" s="371"/>
      <c r="T17" s="361"/>
      <c r="AA17" s="380"/>
    </row>
    <row r="18" spans="1:27" ht="26.25" customHeight="1" thickBot="1" x14ac:dyDescent="0.25">
      <c r="A18" s="368"/>
      <c r="B18" s="351"/>
      <c r="C18" s="351"/>
      <c r="D18" s="351"/>
      <c r="E18" s="351"/>
      <c r="F18" s="351"/>
      <c r="G18" s="381"/>
      <c r="H18" s="501"/>
      <c r="I18" s="501"/>
      <c r="J18" s="501"/>
      <c r="K18" s="501"/>
      <c r="L18" s="501"/>
      <c r="M18" s="382"/>
      <c r="N18" s="361"/>
      <c r="O18" s="361"/>
      <c r="P18" s="361"/>
      <c r="Q18" s="361"/>
      <c r="R18" s="361"/>
      <c r="S18" s="371"/>
      <c r="T18" s="361"/>
      <c r="AA18" s="380"/>
    </row>
    <row r="19" spans="1:27" ht="26.25" customHeight="1" x14ac:dyDescent="0.2">
      <c r="A19" s="368"/>
      <c r="B19" s="351"/>
      <c r="C19" s="351"/>
      <c r="D19" s="351"/>
      <c r="E19" s="351"/>
      <c r="F19" s="351"/>
      <c r="G19" s="489" t="s">
        <v>266</v>
      </c>
      <c r="H19" s="490"/>
      <c r="I19" s="490"/>
      <c r="J19" s="490"/>
      <c r="K19" s="490"/>
      <c r="L19" s="490"/>
      <c r="M19" s="479"/>
      <c r="N19" s="361"/>
      <c r="O19" s="361"/>
      <c r="P19" s="361"/>
      <c r="Q19" s="361"/>
      <c r="R19" s="361"/>
      <c r="S19" s="371"/>
      <c r="T19" s="361"/>
    </row>
    <row r="20" spans="1:27" ht="26.25" customHeight="1" thickBot="1" x14ac:dyDescent="0.25">
      <c r="A20" s="368"/>
      <c r="B20" s="351"/>
      <c r="C20" s="351"/>
      <c r="D20" s="351"/>
      <c r="E20" s="351"/>
      <c r="F20" s="351"/>
      <c r="G20" s="486">
        <v>1000000</v>
      </c>
      <c r="H20" s="487"/>
      <c r="I20" s="487"/>
      <c r="J20" s="487"/>
      <c r="K20" s="487"/>
      <c r="L20" s="487"/>
      <c r="M20" s="488"/>
      <c r="N20" s="361"/>
      <c r="O20" s="361"/>
      <c r="P20" s="361"/>
      <c r="Q20" s="361"/>
      <c r="R20" s="361"/>
      <c r="S20" s="371"/>
      <c r="T20" s="361"/>
    </row>
    <row r="21" spans="1:27" ht="26.25" customHeight="1" x14ac:dyDescent="0.2">
      <c r="A21" s="368"/>
      <c r="B21" s="351"/>
      <c r="C21" s="351"/>
      <c r="D21" s="351"/>
      <c r="E21" s="351"/>
      <c r="F21" s="351"/>
      <c r="G21" s="489" t="s">
        <v>267</v>
      </c>
      <c r="H21" s="490"/>
      <c r="I21" s="490"/>
      <c r="J21" s="490"/>
      <c r="K21" s="490"/>
      <c r="L21" s="490"/>
      <c r="M21" s="479"/>
      <c r="N21" s="361"/>
      <c r="O21" s="361"/>
      <c r="P21" s="361"/>
      <c r="Q21" s="361"/>
      <c r="R21" s="361"/>
      <c r="S21" s="371"/>
      <c r="T21" s="361"/>
    </row>
    <row r="22" spans="1:27" ht="26.25" customHeight="1" thickBot="1" x14ac:dyDescent="0.25">
      <c r="A22" s="368"/>
      <c r="B22" s="351"/>
      <c r="C22" s="351"/>
      <c r="D22" s="351"/>
      <c r="E22" s="351"/>
      <c r="F22" s="351"/>
      <c r="G22" s="486">
        <f>+I13*15</f>
        <v>225975</v>
      </c>
      <c r="H22" s="487"/>
      <c r="I22" s="487"/>
      <c r="J22" s="487"/>
      <c r="K22" s="487"/>
      <c r="L22" s="487"/>
      <c r="M22" s="488"/>
      <c r="N22" s="361"/>
      <c r="O22" s="361"/>
      <c r="P22" s="361"/>
      <c r="Q22" s="361"/>
      <c r="R22" s="361"/>
      <c r="S22" s="371"/>
      <c r="T22" s="361"/>
    </row>
    <row r="23" spans="1:27" ht="26.25" customHeight="1" x14ac:dyDescent="0.2">
      <c r="A23" s="368"/>
      <c r="B23" s="351"/>
      <c r="C23" s="351"/>
      <c r="D23" s="351"/>
      <c r="E23" s="351"/>
      <c r="F23" s="351"/>
      <c r="G23" s="489" t="s">
        <v>268</v>
      </c>
      <c r="H23" s="490"/>
      <c r="I23" s="490"/>
      <c r="J23" s="490"/>
      <c r="K23" s="490"/>
      <c r="L23" s="490"/>
      <c r="M23" s="479"/>
      <c r="N23" s="361"/>
      <c r="O23" s="361"/>
      <c r="P23" s="361"/>
      <c r="Q23" s="361"/>
      <c r="R23" s="361"/>
      <c r="S23" s="371"/>
      <c r="T23" s="361"/>
    </row>
    <row r="24" spans="1:27" ht="26.25" customHeight="1" x14ac:dyDescent="0.2">
      <c r="A24" s="368"/>
      <c r="B24" s="351"/>
      <c r="C24" s="351"/>
      <c r="D24" s="351"/>
      <c r="E24" s="351"/>
      <c r="F24" s="351"/>
      <c r="G24" s="491">
        <f>+I13*15</f>
        <v>225975</v>
      </c>
      <c r="H24" s="492"/>
      <c r="I24" s="492"/>
      <c r="J24" s="492"/>
      <c r="K24" s="492"/>
      <c r="L24" s="492"/>
      <c r="M24" s="482"/>
      <c r="N24" s="361"/>
      <c r="O24" s="361"/>
      <c r="P24" s="361"/>
      <c r="Q24" s="361"/>
      <c r="R24" s="361"/>
      <c r="S24" s="371"/>
      <c r="T24" s="361"/>
    </row>
    <row r="25" spans="1:27" ht="26.25" customHeight="1" x14ac:dyDescent="0.2">
      <c r="A25" s="368"/>
      <c r="B25" s="351"/>
      <c r="C25" s="351"/>
      <c r="D25" s="351"/>
      <c r="E25" s="351"/>
      <c r="F25" s="351"/>
      <c r="G25" s="493" t="s">
        <v>269</v>
      </c>
      <c r="H25" s="494"/>
      <c r="I25" s="494"/>
      <c r="J25" s="383"/>
      <c r="K25" s="494" t="s">
        <v>270</v>
      </c>
      <c r="L25" s="494"/>
      <c r="M25" s="485"/>
      <c r="N25" s="495" t="s">
        <v>271</v>
      </c>
      <c r="O25" s="496"/>
      <c r="P25" s="496"/>
      <c r="Q25" s="361"/>
      <c r="R25" s="361"/>
      <c r="S25" s="371"/>
      <c r="T25" s="361"/>
    </row>
    <row r="26" spans="1:27" ht="26.25" customHeight="1" thickBot="1" x14ac:dyDescent="0.25">
      <c r="A26" s="368"/>
      <c r="B26" s="351"/>
      <c r="C26" s="351"/>
      <c r="D26" s="351"/>
      <c r="E26" s="351"/>
      <c r="F26" s="351"/>
      <c r="G26" s="475">
        <f>+G24*$B$14</f>
        <v>155325</v>
      </c>
      <c r="H26" s="476"/>
      <c r="I26" s="476"/>
      <c r="J26" s="384"/>
      <c r="K26" s="476">
        <f>+G24*$O$14</f>
        <v>70650</v>
      </c>
      <c r="L26" s="476"/>
      <c r="M26" s="472"/>
      <c r="N26" s="361"/>
      <c r="O26" s="361"/>
      <c r="P26" s="361"/>
      <c r="Q26" s="361"/>
      <c r="R26" s="361"/>
      <c r="S26" s="371"/>
      <c r="T26" s="361"/>
    </row>
    <row r="27" spans="1:27" ht="26.25" customHeight="1" x14ac:dyDescent="0.2">
      <c r="A27" s="385"/>
      <c r="B27" s="361"/>
      <c r="C27" s="361"/>
      <c r="D27" s="361"/>
      <c r="E27" s="361"/>
      <c r="F27" s="361"/>
      <c r="G27" s="477" t="s">
        <v>272</v>
      </c>
      <c r="H27" s="478"/>
      <c r="I27" s="478"/>
      <c r="J27" s="478"/>
      <c r="K27" s="478"/>
      <c r="L27" s="478"/>
      <c r="M27" s="479"/>
      <c r="N27" s="361"/>
      <c r="O27" s="361"/>
      <c r="P27" s="361"/>
      <c r="Q27" s="361"/>
      <c r="R27" s="361"/>
      <c r="S27" s="371"/>
      <c r="T27" s="361"/>
    </row>
    <row r="28" spans="1:27" ht="26.25" customHeight="1" x14ac:dyDescent="0.2">
      <c r="A28" s="385"/>
      <c r="B28" s="361"/>
      <c r="C28" s="361"/>
      <c r="D28" s="361"/>
      <c r="E28" s="361"/>
      <c r="F28" s="361"/>
      <c r="G28" s="480">
        <f>40*I13</f>
        <v>602600</v>
      </c>
      <c r="H28" s="481"/>
      <c r="I28" s="481"/>
      <c r="J28" s="481"/>
      <c r="K28" s="481"/>
      <c r="L28" s="481"/>
      <c r="M28" s="482"/>
      <c r="N28" s="361"/>
      <c r="O28" s="361"/>
      <c r="P28" s="361"/>
      <c r="Q28" s="361"/>
      <c r="R28" s="361"/>
      <c r="S28" s="371"/>
      <c r="T28" s="361"/>
    </row>
    <row r="29" spans="1:27" ht="26.25" customHeight="1" x14ac:dyDescent="0.2">
      <c r="A29" s="385"/>
      <c r="B29" s="361"/>
      <c r="C29" s="361"/>
      <c r="D29" s="361"/>
      <c r="E29" s="361"/>
      <c r="F29" s="361"/>
      <c r="G29" s="483" t="s">
        <v>269</v>
      </c>
      <c r="H29" s="484"/>
      <c r="I29" s="484"/>
      <c r="J29" s="386"/>
      <c r="K29" s="484" t="s">
        <v>270</v>
      </c>
      <c r="L29" s="484"/>
      <c r="M29" s="485"/>
      <c r="N29" s="361"/>
      <c r="O29" s="361"/>
      <c r="P29" s="361"/>
      <c r="Q29" s="361"/>
      <c r="R29" s="361"/>
      <c r="S29" s="371"/>
      <c r="T29" s="361"/>
    </row>
    <row r="30" spans="1:27" ht="26.25" customHeight="1" thickBot="1" x14ac:dyDescent="0.25">
      <c r="A30" s="385"/>
      <c r="B30" s="361"/>
      <c r="C30" s="361"/>
      <c r="D30" s="361"/>
      <c r="E30" s="361"/>
      <c r="F30" s="361"/>
      <c r="G30" s="470">
        <f>+G28*$B$14</f>
        <v>414200.00000000006</v>
      </c>
      <c r="H30" s="471"/>
      <c r="I30" s="471"/>
      <c r="J30" s="387"/>
      <c r="K30" s="471">
        <f>+G28*$O$14</f>
        <v>188400</v>
      </c>
      <c r="L30" s="471"/>
      <c r="M30" s="472"/>
      <c r="N30" s="361"/>
      <c r="O30" s="361"/>
      <c r="P30" s="361"/>
      <c r="Q30" s="361"/>
      <c r="R30" s="361"/>
      <c r="S30" s="371"/>
      <c r="T30" s="361"/>
    </row>
    <row r="31" spans="1:27" ht="26.25" customHeight="1" x14ac:dyDescent="0.2">
      <c r="A31" s="385"/>
      <c r="B31" s="361"/>
      <c r="C31" s="361"/>
      <c r="D31" s="361"/>
      <c r="E31" s="361"/>
      <c r="F31" s="361"/>
      <c r="G31" s="473" t="s">
        <v>273</v>
      </c>
      <c r="H31" s="473"/>
      <c r="I31" s="473"/>
      <c r="J31" s="473"/>
      <c r="K31" s="473"/>
      <c r="L31" s="473"/>
      <c r="M31" s="473"/>
      <c r="N31" s="361"/>
      <c r="O31" s="361"/>
      <c r="P31" s="361"/>
      <c r="Q31" s="361"/>
      <c r="R31" s="361"/>
      <c r="S31" s="371"/>
      <c r="T31" s="361"/>
    </row>
    <row r="32" spans="1:27" ht="26.25" customHeight="1" x14ac:dyDescent="0.2">
      <c r="A32" s="385"/>
      <c r="B32" s="361"/>
      <c r="C32" s="361"/>
      <c r="D32" s="361"/>
      <c r="E32" s="361"/>
      <c r="F32" s="361"/>
      <c r="G32" s="473"/>
      <c r="H32" s="473"/>
      <c r="I32" s="473"/>
      <c r="J32" s="473"/>
      <c r="K32" s="473"/>
      <c r="L32" s="473"/>
      <c r="M32" s="473"/>
      <c r="N32" s="361"/>
      <c r="O32" s="361"/>
      <c r="P32" s="361"/>
      <c r="Q32" s="361"/>
      <c r="R32" s="361"/>
      <c r="S32" s="371"/>
      <c r="T32" s="361"/>
    </row>
    <row r="33" spans="1:20" ht="26.25" customHeight="1" thickBot="1" x14ac:dyDescent="0.25">
      <c r="A33" s="388"/>
      <c r="B33" s="389"/>
      <c r="C33" s="389"/>
      <c r="D33" s="389"/>
      <c r="E33" s="389"/>
      <c r="F33" s="389"/>
      <c r="G33" s="389"/>
      <c r="H33" s="389"/>
      <c r="I33" s="389"/>
      <c r="J33" s="389"/>
      <c r="K33" s="390"/>
      <c r="L33" s="389"/>
      <c r="M33" s="389"/>
      <c r="N33" s="389"/>
      <c r="O33" s="389"/>
      <c r="P33" s="389"/>
      <c r="Q33" s="389"/>
      <c r="R33" s="389"/>
      <c r="S33" s="391"/>
      <c r="T33" s="361"/>
    </row>
    <row r="34" spans="1:20" ht="26.25" customHeight="1" x14ac:dyDescent="0.2">
      <c r="A34" s="361"/>
      <c r="B34" s="361"/>
      <c r="C34" s="361"/>
      <c r="D34" s="361"/>
      <c r="E34" s="361"/>
      <c r="F34" s="361"/>
      <c r="G34" s="361"/>
      <c r="H34" s="361"/>
      <c r="I34" s="361"/>
      <c r="J34" s="361"/>
      <c r="L34" s="361"/>
      <c r="M34" s="361"/>
      <c r="N34" s="361"/>
      <c r="O34" s="361"/>
      <c r="P34" s="361"/>
      <c r="Q34" s="361"/>
      <c r="R34" s="361"/>
      <c r="S34" s="361"/>
      <c r="T34" s="361"/>
    </row>
    <row r="35" spans="1:20" ht="26.25" customHeight="1" x14ac:dyDescent="0.2">
      <c r="A35" s="474" t="s">
        <v>274</v>
      </c>
      <c r="B35" s="474"/>
      <c r="C35" s="474"/>
      <c r="D35" s="474"/>
      <c r="E35" s="474"/>
      <c r="F35" s="474"/>
      <c r="G35" s="474"/>
      <c r="H35" s="474"/>
      <c r="I35" s="474"/>
      <c r="J35" s="474"/>
      <c r="K35" s="474"/>
      <c r="L35" s="474"/>
      <c r="M35" s="474"/>
      <c r="N35" s="474"/>
      <c r="O35" s="474"/>
      <c r="P35" s="474"/>
      <c r="Q35" s="474"/>
      <c r="R35" s="474"/>
      <c r="S35" s="474"/>
      <c r="T35" s="361"/>
    </row>
    <row r="36" spans="1:20" ht="26.25" customHeight="1" x14ac:dyDescent="0.2">
      <c r="A36" s="474"/>
      <c r="B36" s="474"/>
      <c r="C36" s="474"/>
      <c r="D36" s="474"/>
      <c r="E36" s="474"/>
      <c r="F36" s="474"/>
      <c r="G36" s="474"/>
      <c r="H36" s="474"/>
      <c r="I36" s="474"/>
      <c r="J36" s="474"/>
      <c r="K36" s="474"/>
      <c r="L36" s="474"/>
      <c r="M36" s="474"/>
      <c r="N36" s="474"/>
      <c r="O36" s="474"/>
      <c r="P36" s="474"/>
      <c r="Q36" s="474"/>
      <c r="R36" s="474"/>
      <c r="S36" s="474"/>
      <c r="T36" s="361"/>
    </row>
    <row r="37" spans="1:20" ht="26.25" hidden="1" customHeight="1" x14ac:dyDescent="0.2"/>
    <row r="38" spans="1:20" ht="26.25" hidden="1" customHeight="1" x14ac:dyDescent="0.2"/>
    <row r="39" spans="1:20" ht="26.25" hidden="1" customHeight="1" x14ac:dyDescent="0.2"/>
    <row r="40" spans="1:20" ht="26.25" hidden="1" customHeight="1" x14ac:dyDescent="0.2"/>
    <row r="41" spans="1:20" ht="26.25" hidden="1" customHeight="1" x14ac:dyDescent="0.2"/>
    <row r="42" spans="1:20" ht="26.25" hidden="1" customHeight="1" x14ac:dyDescent="0.2"/>
    <row r="43" spans="1:20" ht="26.25" hidden="1" customHeight="1" x14ac:dyDescent="0.2"/>
    <row r="44" spans="1:20" ht="26.25" hidden="1" customHeight="1" x14ac:dyDescent="0.2"/>
    <row r="45" spans="1:20" ht="26.25" hidden="1" customHeight="1" x14ac:dyDescent="0.2"/>
    <row r="46" spans="1:20" ht="26.25" hidden="1" customHeight="1" x14ac:dyDescent="0.2"/>
    <row r="47" spans="1:20" ht="26.25" hidden="1" customHeight="1" x14ac:dyDescent="0.2"/>
    <row r="48" spans="1:20" ht="26.25" hidden="1" customHeight="1" x14ac:dyDescent="0.2"/>
    <row r="49" ht="26.25" hidden="1" customHeight="1" x14ac:dyDescent="0.2"/>
    <row r="50" ht="26.25" hidden="1" customHeight="1" x14ac:dyDescent="0.2"/>
    <row r="51" ht="26.25" hidden="1" customHeight="1" x14ac:dyDescent="0.2"/>
    <row r="52" ht="26.25" hidden="1" customHeight="1" x14ac:dyDescent="0.2"/>
    <row r="53" ht="26.25" hidden="1" customHeight="1" x14ac:dyDescent="0.2"/>
    <row r="54" ht="26.25" hidden="1" customHeight="1" x14ac:dyDescent="0.2"/>
    <row r="55" ht="26.25" hidden="1" customHeight="1" x14ac:dyDescent="0.2"/>
    <row r="56" ht="26.25" hidden="1" customHeight="1" x14ac:dyDescent="0.2"/>
    <row r="57" ht="26.25" hidden="1" customHeight="1" x14ac:dyDescent="0.2"/>
    <row r="58" ht="26.25" hidden="1" customHeight="1" x14ac:dyDescent="0.2"/>
    <row r="59" ht="26.25" hidden="1" customHeight="1" x14ac:dyDescent="0.2"/>
    <row r="60" ht="26.25" hidden="1" customHeight="1" x14ac:dyDescent="0.2"/>
    <row r="61" ht="26.25" hidden="1" customHeight="1" x14ac:dyDescent="0.2"/>
    <row r="62" ht="26.25" hidden="1" customHeight="1" x14ac:dyDescent="0.2"/>
    <row r="63" ht="26.25" hidden="1" customHeight="1" x14ac:dyDescent="0.2"/>
    <row r="64" ht="26.25" hidden="1" customHeight="1" x14ac:dyDescent="0.2"/>
    <row r="65" ht="26.25" hidden="1" customHeight="1" x14ac:dyDescent="0.2"/>
    <row r="66" ht="26.25" hidden="1" customHeight="1" x14ac:dyDescent="0.2"/>
    <row r="67" ht="26.25" hidden="1" customHeight="1" x14ac:dyDescent="0.2"/>
    <row r="68" ht="26.25" hidden="1" customHeight="1" x14ac:dyDescent="0.2"/>
    <row r="69" ht="26.25" hidden="1" customHeight="1" x14ac:dyDescent="0.2"/>
    <row r="70" ht="26.25" hidden="1" customHeight="1" x14ac:dyDescent="0.2"/>
    <row r="71" ht="26.25" hidden="1" customHeight="1" x14ac:dyDescent="0.2"/>
    <row r="72" ht="26.25" hidden="1" customHeight="1" x14ac:dyDescent="0.2"/>
    <row r="73" ht="26.25" hidden="1" customHeight="1" x14ac:dyDescent="0.2"/>
    <row r="74" ht="26.25" hidden="1" customHeight="1" x14ac:dyDescent="0.2"/>
    <row r="75" ht="26.25" hidden="1" customHeight="1" x14ac:dyDescent="0.2"/>
    <row r="76" ht="26.25" hidden="1" customHeight="1" x14ac:dyDescent="0.2"/>
    <row r="77" ht="26.25" hidden="1" customHeight="1" x14ac:dyDescent="0.2"/>
    <row r="78" ht="26.25" hidden="1" customHeight="1" x14ac:dyDescent="0.2"/>
    <row r="79" ht="26.25" hidden="1" customHeight="1" x14ac:dyDescent="0.2"/>
    <row r="80" ht="26.25" hidden="1" customHeight="1" x14ac:dyDescent="0.2"/>
    <row r="81" ht="26.25" hidden="1" customHeight="1" x14ac:dyDescent="0.2"/>
    <row r="82" ht="26.25" hidden="1" customHeight="1" x14ac:dyDescent="0.2"/>
    <row r="83" ht="26.25" hidden="1" customHeight="1" x14ac:dyDescent="0.2"/>
    <row r="84" ht="26.25" hidden="1" customHeight="1" x14ac:dyDescent="0.2"/>
    <row r="85" ht="26.25" hidden="1" customHeight="1" x14ac:dyDescent="0.2"/>
    <row r="86" ht="26.25" hidden="1" customHeight="1" x14ac:dyDescent="0.2"/>
    <row r="87" ht="26.25" hidden="1" customHeight="1" x14ac:dyDescent="0.2"/>
    <row r="88" ht="26.25" hidden="1" customHeight="1" x14ac:dyDescent="0.2"/>
    <row r="89" ht="26.25" hidden="1" customHeight="1" x14ac:dyDescent="0.2"/>
    <row r="90" ht="26.25" hidden="1" customHeight="1" x14ac:dyDescent="0.2"/>
    <row r="91" ht="26.25" hidden="1" customHeight="1" x14ac:dyDescent="0.2"/>
    <row r="92" ht="26.25" hidden="1" customHeight="1" x14ac:dyDescent="0.2"/>
    <row r="93" ht="26.25" hidden="1" customHeight="1" x14ac:dyDescent="0.2"/>
    <row r="94" ht="26.25" hidden="1" customHeight="1" x14ac:dyDescent="0.2"/>
    <row r="95" ht="26.25" hidden="1" customHeight="1" x14ac:dyDescent="0.2"/>
    <row r="96" ht="26.25" hidden="1" customHeight="1" x14ac:dyDescent="0.2"/>
    <row r="97" ht="26.25" hidden="1" customHeight="1" x14ac:dyDescent="0.2"/>
    <row r="98" ht="26.25" hidden="1" customHeight="1" x14ac:dyDescent="0.2"/>
    <row r="99" ht="26.25" hidden="1" customHeight="1" x14ac:dyDescent="0.2"/>
    <row r="100" ht="26.25" hidden="1" customHeight="1" x14ac:dyDescent="0.2"/>
    <row r="101" ht="26.25" hidden="1" customHeight="1" x14ac:dyDescent="0.2"/>
    <row r="102" ht="26.25" hidden="1" customHeight="1" x14ac:dyDescent="0.2"/>
    <row r="103" ht="26.25" hidden="1" customHeight="1" x14ac:dyDescent="0.2"/>
    <row r="104" ht="26.25" hidden="1" customHeight="1" x14ac:dyDescent="0.2"/>
    <row r="105" ht="26.25" hidden="1" customHeight="1" x14ac:dyDescent="0.2"/>
    <row r="106" ht="26.25" hidden="1" customHeight="1" x14ac:dyDescent="0.2"/>
    <row r="107" ht="26.25" hidden="1" customHeight="1" x14ac:dyDescent="0.2"/>
    <row r="108" ht="26.25" hidden="1" customHeight="1" x14ac:dyDescent="0.2"/>
    <row r="109" ht="26.25" hidden="1" customHeight="1" x14ac:dyDescent="0.2"/>
    <row r="110" ht="26.25" hidden="1" customHeight="1" x14ac:dyDescent="0.2"/>
    <row r="111" ht="26.25" hidden="1" customHeight="1" x14ac:dyDescent="0.2"/>
    <row r="112" ht="26.25" hidden="1" customHeight="1" x14ac:dyDescent="0.2"/>
    <row r="113" ht="26.25" hidden="1" customHeight="1" x14ac:dyDescent="0.2"/>
    <row r="114" ht="26.25" hidden="1" customHeight="1" x14ac:dyDescent="0.2"/>
    <row r="115" ht="26.25" hidden="1" customHeight="1" x14ac:dyDescent="0.2"/>
    <row r="116" ht="26.25" hidden="1" customHeight="1" x14ac:dyDescent="0.2"/>
    <row r="117" ht="26.25" hidden="1" customHeight="1" x14ac:dyDescent="0.2"/>
    <row r="118" ht="26.25" hidden="1" customHeight="1" x14ac:dyDescent="0.2"/>
    <row r="119" ht="26.25" hidden="1" customHeight="1" x14ac:dyDescent="0.2"/>
    <row r="120" ht="26.25" hidden="1" customHeight="1" x14ac:dyDescent="0.2"/>
    <row r="121" ht="26.25" hidden="1" customHeight="1" x14ac:dyDescent="0.2"/>
    <row r="122" ht="26.25" hidden="1" customHeight="1" x14ac:dyDescent="0.2"/>
    <row r="123" ht="26.25" hidden="1" customHeight="1" x14ac:dyDescent="0.2"/>
    <row r="124" ht="26.25" hidden="1" customHeight="1" x14ac:dyDescent="0.2"/>
    <row r="125" ht="26.25" hidden="1" customHeight="1" x14ac:dyDescent="0.2"/>
    <row r="126" ht="26.25" hidden="1" customHeight="1" x14ac:dyDescent="0.2"/>
    <row r="127" ht="26.25" hidden="1" customHeight="1" x14ac:dyDescent="0.2"/>
    <row r="128" ht="26.25" hidden="1" customHeight="1" x14ac:dyDescent="0.2"/>
    <row r="129" ht="26.25" hidden="1" customHeight="1" x14ac:dyDescent="0.2"/>
    <row r="130" ht="26.25" hidden="1" customHeight="1" x14ac:dyDescent="0.2"/>
    <row r="131" ht="26.25" hidden="1" customHeight="1" x14ac:dyDescent="0.2"/>
    <row r="132" ht="26.25" hidden="1" customHeight="1" x14ac:dyDescent="0.2"/>
    <row r="133" ht="26.25" hidden="1" customHeight="1" x14ac:dyDescent="0.2"/>
    <row r="134" ht="26.25" hidden="1" customHeight="1" x14ac:dyDescent="0.2"/>
    <row r="135" ht="26.25" hidden="1" customHeight="1" x14ac:dyDescent="0.2"/>
    <row r="136" ht="26.25" hidden="1" customHeight="1" x14ac:dyDescent="0.2"/>
    <row r="137" ht="26.25" hidden="1" customHeight="1" x14ac:dyDescent="0.2"/>
    <row r="138" ht="26.25" hidden="1" customHeight="1" x14ac:dyDescent="0.2"/>
    <row r="139" ht="26.25" hidden="1" customHeight="1" x14ac:dyDescent="0.2"/>
    <row r="140" ht="26.25" hidden="1" customHeight="1" x14ac:dyDescent="0.2"/>
    <row r="141" ht="26.25" hidden="1" customHeight="1" x14ac:dyDescent="0.2"/>
    <row r="142" ht="26.25" hidden="1" customHeight="1" x14ac:dyDescent="0.2"/>
    <row r="143" ht="26.25" hidden="1" customHeight="1" x14ac:dyDescent="0.2"/>
    <row r="144" ht="26.25" hidden="1" customHeight="1" x14ac:dyDescent="0.2"/>
    <row r="145" ht="26.25" hidden="1" customHeight="1" x14ac:dyDescent="0.2"/>
    <row r="146" ht="26.25" hidden="1" customHeight="1" x14ac:dyDescent="0.2"/>
    <row r="147" ht="26.25" hidden="1" customHeight="1" x14ac:dyDescent="0.2"/>
    <row r="148" ht="26.25" hidden="1" customHeight="1" x14ac:dyDescent="0.2"/>
    <row r="149" ht="26.25" hidden="1" customHeight="1" x14ac:dyDescent="0.2"/>
    <row r="150" ht="26.25" hidden="1" customHeight="1" x14ac:dyDescent="0.2"/>
    <row r="151" ht="26.25" hidden="1" customHeight="1" x14ac:dyDescent="0.2"/>
    <row r="152" ht="26.25" hidden="1" customHeight="1" x14ac:dyDescent="0.2"/>
    <row r="153" ht="26.25" hidden="1" customHeight="1" x14ac:dyDescent="0.2"/>
    <row r="154" ht="26.25" hidden="1" customHeight="1" x14ac:dyDescent="0.2"/>
    <row r="155" ht="26.25" hidden="1" customHeight="1" x14ac:dyDescent="0.2"/>
    <row r="156" ht="26.25" hidden="1" customHeight="1" x14ac:dyDescent="0.2"/>
    <row r="157" ht="26.25" hidden="1" customHeight="1" x14ac:dyDescent="0.2"/>
    <row r="158" ht="26.25" hidden="1" customHeight="1" x14ac:dyDescent="0.2"/>
    <row r="159" ht="26.25" hidden="1" customHeight="1" x14ac:dyDescent="0.2"/>
    <row r="160" ht="26.25" hidden="1" customHeight="1" x14ac:dyDescent="0.2"/>
    <row r="161" ht="26.25" hidden="1" customHeight="1" x14ac:dyDescent="0.2"/>
    <row r="162" ht="26.25" hidden="1" customHeight="1" x14ac:dyDescent="0.2"/>
    <row r="163" ht="26.25" hidden="1" customHeight="1" x14ac:dyDescent="0.2"/>
    <row r="164" ht="26.25" hidden="1" customHeight="1" x14ac:dyDescent="0.2"/>
    <row r="165" ht="26.25" hidden="1" customHeight="1" x14ac:dyDescent="0.2"/>
    <row r="166" ht="26.25" hidden="1" customHeight="1" x14ac:dyDescent="0.2"/>
    <row r="167" ht="26.25" hidden="1" customHeight="1" x14ac:dyDescent="0.2"/>
    <row r="168" ht="26.25" hidden="1" customHeight="1" x14ac:dyDescent="0.2"/>
    <row r="169" ht="26.25" hidden="1" customHeight="1" x14ac:dyDescent="0.2"/>
    <row r="170" ht="26.25" hidden="1" customHeight="1" x14ac:dyDescent="0.2"/>
  </sheetData>
  <mergeCells count="40">
    <mergeCell ref="A6:H6"/>
    <mergeCell ref="A1:D1"/>
    <mergeCell ref="A2:H2"/>
    <mergeCell ref="A3:H3"/>
    <mergeCell ref="A4:H4"/>
    <mergeCell ref="A5:H5"/>
    <mergeCell ref="G16:M16"/>
    <mergeCell ref="A7:H7"/>
    <mergeCell ref="A8:H8"/>
    <mergeCell ref="A9:S9"/>
    <mergeCell ref="B12:E12"/>
    <mergeCell ref="G12:M12"/>
    <mergeCell ref="O12:R12"/>
    <mergeCell ref="C13:D13"/>
    <mergeCell ref="I13:K13"/>
    <mergeCell ref="P13:Q13"/>
    <mergeCell ref="B14:E14"/>
    <mergeCell ref="O14:R14"/>
    <mergeCell ref="N25:P25"/>
    <mergeCell ref="B17:E17"/>
    <mergeCell ref="H17:L18"/>
    <mergeCell ref="O17:R17"/>
    <mergeCell ref="G19:M19"/>
    <mergeCell ref="G20:M20"/>
    <mergeCell ref="G21:M21"/>
    <mergeCell ref="G22:M22"/>
    <mergeCell ref="G23:M23"/>
    <mergeCell ref="G24:M24"/>
    <mergeCell ref="G25:I25"/>
    <mergeCell ref="K25:M25"/>
    <mergeCell ref="G30:I30"/>
    <mergeCell ref="K30:M30"/>
    <mergeCell ref="G31:M32"/>
    <mergeCell ref="A35:S36"/>
    <mergeCell ref="G26:I26"/>
    <mergeCell ref="K26:M26"/>
    <mergeCell ref="G27:M27"/>
    <mergeCell ref="G28:M28"/>
    <mergeCell ref="G29:I29"/>
    <mergeCell ref="K29:M29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040AA-C314-41BE-ADEE-823A0FB51E8C}">
  <sheetPr>
    <tabColor rgb="FF92D050"/>
  </sheetPr>
  <dimension ref="A1:N26"/>
  <sheetViews>
    <sheetView workbookViewId="0">
      <selection activeCell="F18" sqref="F18:G18"/>
    </sheetView>
  </sheetViews>
  <sheetFormatPr baseColWidth="10" defaultColWidth="10.85546875" defaultRowHeight="15" x14ac:dyDescent="0.25"/>
  <cols>
    <col min="1" max="1" width="17.42578125" style="395" customWidth="1"/>
    <col min="2" max="2" width="11.140625" style="395" customWidth="1"/>
    <col min="3" max="3" width="80.85546875" style="395" bestFit="1" customWidth="1"/>
    <col min="4" max="4" width="13.7109375" style="395" bestFit="1" customWidth="1"/>
    <col min="5" max="5" width="12.5703125" style="395" customWidth="1"/>
    <col min="6" max="6" width="12" style="395" bestFit="1" customWidth="1"/>
    <col min="7" max="7" width="7.5703125" style="395" bestFit="1" customWidth="1"/>
    <col min="8" max="8" width="10.7109375" style="395" bestFit="1" customWidth="1"/>
    <col min="9" max="9" width="11.28515625" style="395" bestFit="1" customWidth="1"/>
    <col min="10" max="10" width="17.42578125" style="395" bestFit="1" customWidth="1"/>
    <col min="11" max="11" width="12.28515625" style="395" bestFit="1" customWidth="1"/>
    <col min="12" max="12" width="12.5703125" style="395" customWidth="1"/>
    <col min="13" max="13" width="12.42578125" style="403" customWidth="1"/>
    <col min="14" max="14" width="12.5703125" style="395" customWidth="1"/>
    <col min="15" max="16384" width="10.85546875" style="395"/>
  </cols>
  <sheetData>
    <row r="1" spans="1:14" ht="60" x14ac:dyDescent="0.25">
      <c r="A1" s="392" t="s">
        <v>41</v>
      </c>
      <c r="B1" s="392" t="s">
        <v>275</v>
      </c>
      <c r="C1" s="392" t="s">
        <v>43</v>
      </c>
      <c r="D1" s="392" t="s">
        <v>276</v>
      </c>
      <c r="E1" s="393" t="s">
        <v>277</v>
      </c>
      <c r="F1" s="393" t="s">
        <v>278</v>
      </c>
      <c r="G1" s="393" t="s">
        <v>279</v>
      </c>
      <c r="H1" s="393" t="s">
        <v>280</v>
      </c>
      <c r="I1" s="393" t="s">
        <v>281</v>
      </c>
      <c r="J1" s="393" t="s">
        <v>282</v>
      </c>
      <c r="K1" s="393" t="s">
        <v>283</v>
      </c>
      <c r="L1" s="393" t="s">
        <v>284</v>
      </c>
      <c r="M1" s="394" t="s">
        <v>285</v>
      </c>
      <c r="N1" s="393"/>
    </row>
    <row r="2" spans="1:14" x14ac:dyDescent="0.25">
      <c r="A2" s="396"/>
      <c r="B2" s="396" t="s">
        <v>286</v>
      </c>
      <c r="C2" s="396" t="s">
        <v>287</v>
      </c>
      <c r="D2" s="397">
        <v>1000000</v>
      </c>
      <c r="E2" s="398">
        <f>SUM(F2:K2)+N2</f>
        <v>15010</v>
      </c>
      <c r="F2" s="399">
        <f>8480+50</f>
        <v>8530</v>
      </c>
      <c r="G2" s="399"/>
      <c r="H2" s="399"/>
      <c r="I2" s="399"/>
      <c r="J2" s="399">
        <v>370</v>
      </c>
      <c r="K2" s="399">
        <v>6110</v>
      </c>
      <c r="L2" s="399"/>
      <c r="M2" s="400">
        <f>(K2)/E2</f>
        <v>0.40706195869420386</v>
      </c>
      <c r="N2" s="401"/>
    </row>
    <row r="3" spans="1:14" x14ac:dyDescent="0.25">
      <c r="A3" s="396"/>
      <c r="B3" s="396" t="s">
        <v>288</v>
      </c>
      <c r="C3" s="396" t="s">
        <v>289</v>
      </c>
      <c r="D3" s="397">
        <v>1000000</v>
      </c>
      <c r="E3" s="398">
        <v>15418.94</v>
      </c>
      <c r="F3" s="399">
        <f>+E3-H3-I3-J3-K3</f>
        <v>8290</v>
      </c>
      <c r="G3" s="399"/>
      <c r="H3" s="399">
        <v>370</v>
      </c>
      <c r="I3" s="399">
        <v>66</v>
      </c>
      <c r="J3" s="399">
        <v>360</v>
      </c>
      <c r="K3" s="399">
        <v>6332.94</v>
      </c>
      <c r="L3" s="399"/>
      <c r="M3" s="400">
        <f>(K3)/E3</f>
        <v>0.41072473205032251</v>
      </c>
      <c r="N3" s="401"/>
    </row>
    <row r="4" spans="1:14" x14ac:dyDescent="0.25">
      <c r="A4" s="396"/>
      <c r="B4" s="396" t="s">
        <v>290</v>
      </c>
      <c r="C4" s="396" t="s">
        <v>287</v>
      </c>
      <c r="D4" s="397">
        <v>1000000</v>
      </c>
      <c r="E4" s="398">
        <v>15065</v>
      </c>
      <c r="F4" s="399">
        <f>+E4-H4-I4-J4-K4</f>
        <v>10035</v>
      </c>
      <c r="G4" s="399"/>
      <c r="H4" s="399"/>
      <c r="I4" s="399"/>
      <c r="J4" s="399">
        <v>320</v>
      </c>
      <c r="K4" s="399">
        <v>4710</v>
      </c>
      <c r="L4" s="399"/>
      <c r="M4" s="400">
        <f>(K4)/E4</f>
        <v>0.31264520411549951</v>
      </c>
      <c r="N4" s="401">
        <f>+E4*15</f>
        <v>225975</v>
      </c>
    </row>
    <row r="5" spans="1:14" x14ac:dyDescent="0.25">
      <c r="A5" s="396"/>
      <c r="B5" s="396"/>
      <c r="C5" s="396"/>
      <c r="D5" s="399"/>
      <c r="E5" s="398"/>
      <c r="F5" s="399"/>
      <c r="G5" s="399"/>
      <c r="H5" s="399"/>
      <c r="I5" s="399"/>
      <c r="J5" s="402"/>
      <c r="K5" s="396"/>
      <c r="L5" s="399"/>
      <c r="M5" s="400"/>
      <c r="N5" s="401"/>
    </row>
    <row r="6" spans="1:14" x14ac:dyDescent="0.25">
      <c r="A6" s="396"/>
      <c r="B6" s="396" t="s">
        <v>288</v>
      </c>
      <c r="C6" s="396" t="s">
        <v>291</v>
      </c>
      <c r="D6" s="397">
        <v>1000000</v>
      </c>
      <c r="E6" s="398">
        <v>13383.68</v>
      </c>
      <c r="F6" s="399">
        <f>+E6-H6-I6-J6-K6</f>
        <v>8290</v>
      </c>
      <c r="G6" s="399"/>
      <c r="H6" s="399">
        <v>370</v>
      </c>
      <c r="I6" s="399">
        <v>66</v>
      </c>
      <c r="J6" s="399">
        <v>360</v>
      </c>
      <c r="K6" s="399">
        <v>4297.68</v>
      </c>
      <c r="L6" s="399"/>
      <c r="M6" s="400">
        <f>(K6)/E6</f>
        <v>0.32111347551644992</v>
      </c>
      <c r="N6" s="401"/>
    </row>
    <row r="7" spans="1:14" x14ac:dyDescent="0.25">
      <c r="A7" s="396"/>
      <c r="B7" s="396" t="s">
        <v>286</v>
      </c>
      <c r="C7" s="396" t="s">
        <v>292</v>
      </c>
      <c r="D7" s="397">
        <v>1000000</v>
      </c>
      <c r="E7" s="398">
        <f>SUM(F7:K7)+N7</f>
        <v>12850</v>
      </c>
      <c r="F7" s="399">
        <f>8480+50</f>
        <v>8530</v>
      </c>
      <c r="G7" s="399"/>
      <c r="H7" s="399"/>
      <c r="I7" s="399"/>
      <c r="J7" s="399">
        <v>370</v>
      </c>
      <c r="K7" s="399">
        <v>3950</v>
      </c>
      <c r="L7" s="399"/>
      <c r="M7" s="400">
        <f>(K7)/E7</f>
        <v>0.30739299610894943</v>
      </c>
      <c r="N7" s="401"/>
    </row>
    <row r="8" spans="1:14" x14ac:dyDescent="0.25">
      <c r="A8" s="396"/>
      <c r="B8" s="396" t="s">
        <v>290</v>
      </c>
      <c r="C8" s="396" t="s">
        <v>292</v>
      </c>
      <c r="D8" s="397">
        <v>1000000</v>
      </c>
      <c r="E8" s="398">
        <v>13855</v>
      </c>
      <c r="F8" s="399">
        <f>+E8-H8-I8-J8-K8</f>
        <v>10035</v>
      </c>
      <c r="G8" s="399"/>
      <c r="H8" s="399"/>
      <c r="I8" s="399"/>
      <c r="J8" s="399">
        <v>320</v>
      </c>
      <c r="K8" s="399">
        <v>3500</v>
      </c>
      <c r="L8" s="399"/>
      <c r="M8" s="400">
        <f>(K8)/E8</f>
        <v>0.25261638397690367</v>
      </c>
      <c r="N8" s="401"/>
    </row>
    <row r="9" spans="1:14" x14ac:dyDescent="0.25">
      <c r="A9" s="396"/>
      <c r="B9" s="396"/>
      <c r="C9" s="396"/>
      <c r="D9" s="396"/>
      <c r="E9" s="396"/>
      <c r="F9" s="396"/>
      <c r="G9" s="396"/>
      <c r="H9" s="396"/>
      <c r="I9" s="396"/>
      <c r="J9" s="396"/>
      <c r="K9" s="396"/>
      <c r="L9" s="396"/>
    </row>
    <row r="10" spans="1:14" x14ac:dyDescent="0.25">
      <c r="A10" s="396"/>
      <c r="B10" s="396" t="s">
        <v>290</v>
      </c>
      <c r="C10" s="396" t="s">
        <v>293</v>
      </c>
      <c r="D10" s="397">
        <v>1000000</v>
      </c>
      <c r="E10" s="398">
        <v>24245</v>
      </c>
      <c r="F10" s="399">
        <f>+E10-H10-I10-J10-K10</f>
        <v>21995</v>
      </c>
      <c r="G10" s="399"/>
      <c r="H10" s="399"/>
      <c r="I10" s="399"/>
      <c r="J10" s="399">
        <v>950</v>
      </c>
      <c r="K10" s="399">
        <v>1300</v>
      </c>
      <c r="L10" s="399"/>
      <c r="M10" s="400">
        <f>(K10)/E10</f>
        <v>5.3619302949061663E-2</v>
      </c>
      <c r="N10" s="401"/>
    </row>
    <row r="11" spans="1:14" x14ac:dyDescent="0.25">
      <c r="A11" s="396"/>
      <c r="B11" s="396"/>
      <c r="C11" s="396"/>
      <c r="D11" s="397"/>
      <c r="E11" s="398"/>
      <c r="F11" s="399"/>
      <c r="G11" s="399"/>
      <c r="H11" s="399"/>
      <c r="I11" s="399"/>
      <c r="J11" s="399"/>
      <c r="K11" s="399"/>
      <c r="L11" s="399"/>
      <c r="M11" s="400"/>
      <c r="N11" s="404"/>
    </row>
    <row r="12" spans="1:14" x14ac:dyDescent="0.25">
      <c r="A12" s="396"/>
      <c r="B12" s="396" t="s">
        <v>288</v>
      </c>
      <c r="C12" s="396" t="s">
        <v>289</v>
      </c>
      <c r="D12" s="397">
        <v>2000000</v>
      </c>
      <c r="E12" s="398">
        <v>30725.88</v>
      </c>
      <c r="F12" s="399">
        <f>+E12-H12-I12-J12-K12</f>
        <v>16580</v>
      </c>
      <c r="G12" s="399"/>
      <c r="H12" s="399">
        <v>740</v>
      </c>
      <c r="I12" s="399">
        <v>66</v>
      </c>
      <c r="J12" s="399">
        <v>720</v>
      </c>
      <c r="K12" s="399">
        <v>12619.88</v>
      </c>
      <c r="L12" s="399"/>
      <c r="M12" s="400">
        <f>(K12)/E12</f>
        <v>0.41072477012863418</v>
      </c>
      <c r="N12" s="404"/>
    </row>
    <row r="13" spans="1:14" x14ac:dyDescent="0.25">
      <c r="A13" s="396"/>
      <c r="B13" s="396" t="s">
        <v>286</v>
      </c>
      <c r="C13" s="396" t="s">
        <v>287</v>
      </c>
      <c r="D13" s="397">
        <v>2000000</v>
      </c>
      <c r="E13" s="398">
        <f>SUM(F13:K13)+N13</f>
        <v>29970</v>
      </c>
      <c r="F13" s="399">
        <f>16960+50</f>
        <v>17010</v>
      </c>
      <c r="G13" s="399"/>
      <c r="H13" s="399"/>
      <c r="I13" s="399"/>
      <c r="J13" s="399">
        <v>740</v>
      </c>
      <c r="K13" s="399">
        <v>12220</v>
      </c>
      <c r="L13" s="399"/>
      <c r="M13" s="400">
        <f>(K13)/E13</f>
        <v>0.4077410744077411</v>
      </c>
      <c r="N13" s="404"/>
    </row>
    <row r="14" spans="1:14" x14ac:dyDescent="0.25">
      <c r="A14" s="396"/>
      <c r="B14" s="396" t="s">
        <v>290</v>
      </c>
      <c r="C14" s="396" t="s">
        <v>287</v>
      </c>
      <c r="D14" s="397">
        <v>2000000</v>
      </c>
      <c r="E14" s="398">
        <v>30085</v>
      </c>
      <c r="F14" s="399">
        <f>+E14-H14-I14-J14-K14</f>
        <v>20025</v>
      </c>
      <c r="G14" s="399"/>
      <c r="H14" s="399"/>
      <c r="I14" s="399"/>
      <c r="J14" s="399">
        <v>640</v>
      </c>
      <c r="K14" s="399">
        <v>9420</v>
      </c>
      <c r="L14" s="399"/>
      <c r="M14" s="400">
        <f>(K14)/E14</f>
        <v>0.3131128469336879</v>
      </c>
      <c r="N14" s="404"/>
    </row>
    <row r="15" spans="1:14" x14ac:dyDescent="0.25">
      <c r="A15" s="396"/>
      <c r="B15" s="396"/>
      <c r="C15" s="396"/>
      <c r="D15" s="397"/>
      <c r="E15" s="398"/>
      <c r="F15" s="399"/>
      <c r="G15" s="399"/>
      <c r="H15" s="399"/>
      <c r="I15" s="399"/>
      <c r="J15" s="399"/>
      <c r="K15" s="399"/>
      <c r="L15" s="399"/>
      <c r="M15" s="400"/>
      <c r="N15" s="404"/>
    </row>
    <row r="16" spans="1:14" x14ac:dyDescent="0.25">
      <c r="A16" s="396"/>
      <c r="B16" s="396"/>
      <c r="C16" s="396"/>
      <c r="D16" s="397"/>
      <c r="E16" s="398"/>
      <c r="F16" s="399"/>
      <c r="G16" s="399"/>
      <c r="H16" s="399"/>
      <c r="I16" s="399"/>
      <c r="J16" s="399"/>
      <c r="K16" s="399"/>
      <c r="L16" s="399"/>
      <c r="M16" s="400"/>
      <c r="N16" s="404"/>
    </row>
    <row r="17" spans="1:14" x14ac:dyDescent="0.25">
      <c r="A17" s="396"/>
      <c r="B17" s="396"/>
      <c r="C17" s="396"/>
      <c r="D17" s="397"/>
      <c r="E17" s="398"/>
      <c r="F17" s="399"/>
      <c r="G17" s="399"/>
      <c r="H17" s="399"/>
      <c r="I17" s="399"/>
      <c r="J17" s="399"/>
      <c r="K17" s="399"/>
      <c r="L17" s="399"/>
      <c r="M17" s="400"/>
      <c r="N17" s="404"/>
    </row>
    <row r="18" spans="1:14" x14ac:dyDescent="0.25">
      <c r="A18" s="396"/>
      <c r="B18" s="396"/>
      <c r="C18" s="396"/>
      <c r="D18" s="396"/>
      <c r="E18" s="396"/>
      <c r="F18" s="396"/>
      <c r="G18" s="396"/>
      <c r="H18" s="396"/>
      <c r="I18" s="396"/>
      <c r="J18" s="396"/>
      <c r="K18" s="396"/>
      <c r="L18" s="396"/>
    </row>
    <row r="19" spans="1:14" x14ac:dyDescent="0.25">
      <c r="A19" s="396"/>
      <c r="B19" s="396"/>
      <c r="C19" s="396"/>
      <c r="D19" s="396"/>
      <c r="E19" s="396"/>
      <c r="F19" s="396"/>
      <c r="G19" s="396"/>
      <c r="H19" s="396"/>
      <c r="I19" s="396"/>
      <c r="J19" s="396"/>
      <c r="K19" s="396"/>
      <c r="L19" s="396"/>
    </row>
    <row r="20" spans="1:14" x14ac:dyDescent="0.25">
      <c r="A20" s="396"/>
      <c r="B20" s="396"/>
      <c r="C20" s="396"/>
      <c r="D20" s="396"/>
      <c r="E20" s="396"/>
      <c r="F20" s="396"/>
      <c r="G20" s="396"/>
      <c r="H20" s="396"/>
      <c r="I20" s="396"/>
      <c r="J20" s="396"/>
      <c r="K20" s="396"/>
      <c r="L20" s="396"/>
    </row>
    <row r="21" spans="1:14" x14ac:dyDescent="0.25">
      <c r="A21" s="396"/>
      <c r="B21" s="396"/>
      <c r="C21" s="396"/>
      <c r="D21" s="396"/>
      <c r="E21" s="396"/>
      <c r="F21" s="396"/>
      <c r="G21" s="396"/>
      <c r="H21" s="396"/>
      <c r="I21" s="396"/>
      <c r="J21" s="396"/>
      <c r="K21" s="396"/>
      <c r="L21" s="396"/>
    </row>
    <row r="22" spans="1:14" x14ac:dyDescent="0.25">
      <c r="A22" s="396"/>
      <c r="B22" s="396"/>
      <c r="C22" s="396"/>
      <c r="D22" s="396"/>
      <c r="E22" s="396"/>
      <c r="F22" s="396"/>
      <c r="G22" s="396"/>
      <c r="H22" s="396"/>
      <c r="I22" s="396"/>
      <c r="J22" s="396"/>
      <c r="K22" s="396"/>
      <c r="L22" s="396"/>
    </row>
    <row r="23" spans="1:14" x14ac:dyDescent="0.25">
      <c r="A23" s="396"/>
      <c r="B23" s="396"/>
      <c r="C23" s="396"/>
      <c r="D23" s="396"/>
      <c r="E23" s="396"/>
      <c r="F23" s="396"/>
      <c r="G23" s="396"/>
      <c r="H23" s="396"/>
      <c r="I23" s="396"/>
      <c r="J23" s="396"/>
      <c r="K23" s="396"/>
      <c r="L23" s="396"/>
    </row>
    <row r="24" spans="1:14" x14ac:dyDescent="0.25">
      <c r="A24" s="396"/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</row>
    <row r="25" spans="1:14" x14ac:dyDescent="0.25">
      <c r="A25" s="396"/>
      <c r="B25" s="396"/>
      <c r="C25" s="396"/>
      <c r="D25" s="396"/>
      <c r="E25" s="396"/>
      <c r="F25" s="396"/>
      <c r="G25" s="396"/>
      <c r="H25" s="396"/>
      <c r="I25" s="396"/>
      <c r="J25" s="396"/>
      <c r="K25" s="396"/>
      <c r="L25" s="396"/>
    </row>
    <row r="26" spans="1:14" x14ac:dyDescent="0.25">
      <c r="A26" s="396"/>
      <c r="B26" s="396"/>
      <c r="C26" s="396"/>
      <c r="D26" s="396"/>
      <c r="E26" s="396"/>
      <c r="F26" s="396"/>
      <c r="G26" s="396"/>
      <c r="H26" s="396"/>
      <c r="I26" s="396"/>
      <c r="J26" s="396"/>
      <c r="K26" s="396"/>
      <c r="L26" s="396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36966-2CDA-4F5F-9B60-AC0697DEF267}">
  <sheetPr>
    <pageSetUpPr fitToPage="1"/>
  </sheetPr>
  <dimension ref="A1:XFC81"/>
  <sheetViews>
    <sheetView zoomScaleNormal="100" workbookViewId="0">
      <selection activeCell="D17" sqref="D17"/>
    </sheetView>
  </sheetViews>
  <sheetFormatPr baseColWidth="10" defaultColWidth="0" defaultRowHeight="15" customHeight="1" zeroHeight="1" x14ac:dyDescent="0.25"/>
  <cols>
    <col min="1" max="1" width="6.5703125" style="176" customWidth="1"/>
    <col min="2" max="2" width="6.42578125" style="176" customWidth="1"/>
    <col min="3" max="3" width="7.5703125" style="176" customWidth="1"/>
    <col min="4" max="4" width="9.85546875" style="176" customWidth="1"/>
    <col min="5" max="5" width="0.85546875" style="176" customWidth="1"/>
    <col min="6" max="6" width="11.28515625" style="176" bestFit="1" customWidth="1"/>
    <col min="7" max="7" width="10.5703125" style="176" bestFit="1" customWidth="1"/>
    <col min="8" max="8" width="14.85546875" style="176" bestFit="1" customWidth="1"/>
    <col min="9" max="9" width="8.7109375" style="176" customWidth="1"/>
    <col min="10" max="10" width="9.7109375" style="176" customWidth="1"/>
    <col min="11" max="11" width="14.7109375" style="176" bestFit="1" customWidth="1"/>
    <col min="12" max="12" width="21.85546875" style="176" bestFit="1" customWidth="1"/>
    <col min="13" max="13" width="1" style="177" customWidth="1"/>
    <col min="14" max="14" width="12.140625" style="176" customWidth="1"/>
    <col min="15" max="15" width="14.140625" style="175" hidden="1"/>
    <col min="16" max="16" width="3.42578125" style="175" hidden="1"/>
    <col min="17" max="17" width="11.42578125" style="175" hidden="1"/>
    <col min="18" max="18" width="24.140625" style="175" hidden="1"/>
    <col min="19" max="16383" width="11.42578125" style="175" hidden="1"/>
    <col min="16384" max="16384" width="3.85546875" style="175" hidden="1"/>
  </cols>
  <sheetData>
    <row r="1" spans="1:14" ht="15.75" x14ac:dyDescent="0.25">
      <c r="A1" s="521" t="s">
        <v>154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</row>
    <row r="2" spans="1:14" ht="15.75" x14ac:dyDescent="0.25"/>
    <row r="3" spans="1:14" ht="15.75" x14ac:dyDescent="0.25">
      <c r="A3" s="176" t="s">
        <v>155</v>
      </c>
      <c r="F3" s="178">
        <v>30</v>
      </c>
      <c r="G3" s="179" t="s">
        <v>156</v>
      </c>
    </row>
    <row r="4" spans="1:14" ht="15.75" x14ac:dyDescent="0.25">
      <c r="A4" s="176" t="s">
        <v>157</v>
      </c>
      <c r="F4" s="180">
        <v>0.03</v>
      </c>
    </row>
    <row r="5" spans="1:14" ht="15.75" x14ac:dyDescent="0.25">
      <c r="A5" s="176" t="s">
        <v>158</v>
      </c>
      <c r="F5" s="180">
        <v>8.0000000000000002E-3</v>
      </c>
    </row>
    <row r="6" spans="1:14" ht="15.75" x14ac:dyDescent="0.25">
      <c r="A6" s="176" t="s">
        <v>159</v>
      </c>
      <c r="F6" s="181">
        <v>460000</v>
      </c>
    </row>
    <row r="7" spans="1:14" ht="15.75" x14ac:dyDescent="0.25"/>
    <row r="8" spans="1:14" ht="15.75" x14ac:dyDescent="0.25">
      <c r="A8" s="182" t="s">
        <v>160</v>
      </c>
      <c r="B8" s="182"/>
      <c r="C8" s="182"/>
      <c r="D8" s="182"/>
      <c r="E8" s="182"/>
      <c r="F8" s="182"/>
      <c r="G8" s="182"/>
      <c r="H8" s="182"/>
      <c r="I8" s="182"/>
    </row>
    <row r="9" spans="1:14" ht="15" customHeight="1" x14ac:dyDescent="0.25">
      <c r="H9" s="183" t="s">
        <v>161</v>
      </c>
      <c r="K9" s="183" t="s">
        <v>162</v>
      </c>
    </row>
    <row r="10" spans="1:14" ht="7.5" customHeight="1" x14ac:dyDescent="0.25">
      <c r="G10" s="184"/>
      <c r="M10" s="183"/>
    </row>
    <row r="11" spans="1:14" ht="15.75" x14ac:dyDescent="0.25">
      <c r="A11" s="176" t="s">
        <v>163</v>
      </c>
      <c r="H11" s="185">
        <f>F4</f>
        <v>0.03</v>
      </c>
      <c r="K11" s="185">
        <f>H11+F5</f>
        <v>3.7999999999999999E-2</v>
      </c>
    </row>
    <row r="12" spans="1:14" ht="6.75" customHeight="1" x14ac:dyDescent="0.25">
      <c r="A12" s="177"/>
      <c r="B12" s="177"/>
      <c r="C12" s="177"/>
      <c r="D12" s="177"/>
      <c r="E12" s="177"/>
      <c r="F12" s="177"/>
      <c r="I12" s="177"/>
      <c r="J12" s="177"/>
    </row>
    <row r="13" spans="1:14" ht="15.75" x14ac:dyDescent="0.25">
      <c r="A13" s="186" t="str">
        <f>"Paiement " &amp;VLOOKUP(G3,'Coût ass. hypotécaire CALCUL'!$Q$29:$R$32,2,FALSE)&amp;" :"</f>
        <v>Paiement mensuel x 12 :</v>
      </c>
      <c r="B13" s="186"/>
      <c r="C13" s="186"/>
      <c r="D13" s="186"/>
      <c r="E13" s="186"/>
      <c r="F13" s="186"/>
      <c r="G13" s="187" t="s">
        <v>164</v>
      </c>
      <c r="H13" s="188">
        <f>IF(G3="années",'Coût ass. hypotécaire CALCUL'!M32,'Coût ass. hypotécaire CALCUL'!M31)</f>
        <v>23217.265411080487</v>
      </c>
      <c r="J13" s="187" t="s">
        <v>165</v>
      </c>
      <c r="K13" s="188">
        <f>IF(G3="années",'Coût ass. hypotécaire CALCUL'!L32,'Coût ass. hypotécaire CALCUL'!L31)</f>
        <v>25627.485798420152</v>
      </c>
    </row>
    <row r="14" spans="1:14" ht="7.5" customHeight="1" x14ac:dyDescent="0.25">
      <c r="A14" s="186"/>
      <c r="B14" s="186"/>
      <c r="C14" s="186"/>
      <c r="D14" s="186"/>
      <c r="E14" s="186"/>
      <c r="F14" s="186"/>
      <c r="G14" s="189"/>
      <c r="H14" s="188"/>
      <c r="I14" s="189"/>
      <c r="J14" s="188"/>
    </row>
    <row r="15" spans="1:14" s="191" customFormat="1" ht="15.75" x14ac:dyDescent="0.25">
      <c r="A15" s="190" t="s">
        <v>166</v>
      </c>
      <c r="B15" s="190"/>
      <c r="C15" s="190"/>
      <c r="D15" s="190"/>
      <c r="F15" s="190"/>
      <c r="G15" s="192"/>
      <c r="I15" s="192"/>
      <c r="K15" s="193" t="s">
        <v>167</v>
      </c>
      <c r="L15" s="194">
        <f>K13-H13</f>
        <v>2410.2203873396647</v>
      </c>
    </row>
    <row r="16" spans="1:14" ht="6.75" customHeight="1" x14ac:dyDescent="0.25">
      <c r="A16" s="177"/>
      <c r="B16" s="177"/>
      <c r="C16" s="177"/>
      <c r="D16" s="177"/>
      <c r="E16" s="177"/>
      <c r="F16" s="177"/>
      <c r="I16" s="177"/>
      <c r="J16" s="177"/>
      <c r="K16" s="177"/>
      <c r="L16" s="522" t="s">
        <v>168</v>
      </c>
    </row>
    <row r="17" spans="1:20" ht="15" customHeight="1" x14ac:dyDescent="0.25">
      <c r="A17" s="186" t="s">
        <v>169</v>
      </c>
      <c r="B17" s="186"/>
      <c r="C17" s="186"/>
      <c r="D17" s="178">
        <v>5</v>
      </c>
      <c r="E17" s="195" t="str">
        <f>G3&amp;" :"</f>
        <v>années :</v>
      </c>
      <c r="F17" s="186"/>
      <c r="G17" s="187" t="s">
        <v>170</v>
      </c>
      <c r="H17" s="196">
        <f>((1+'Coût ass. hypotécaire CALCUL'!M27)^'Coût ass. hypotécaire CALCUL'!M28)*(F6-'Coût ass. hypotécaire CALCUL'!O30*'Coût ass. hypotécaire CALCUL'!M31)</f>
        <v>408830.53797105968</v>
      </c>
      <c r="J17" s="187" t="s">
        <v>171</v>
      </c>
      <c r="K17" s="196">
        <f>((1+'Coût ass. hypotécaire CALCUL'!L27)^'Coût ass. hypotécaire CALCUL'!M28)*(F6-'Coût ass. hypotécaire CALCUL'!N30*'Coût ass. hypotécaire CALCUL'!L31)</f>
        <v>414495.39086626581</v>
      </c>
      <c r="L17" s="523"/>
    </row>
    <row r="18" spans="1:20" ht="9" customHeight="1" x14ac:dyDescent="0.25">
      <c r="A18" s="186"/>
      <c r="B18" s="186"/>
      <c r="C18" s="186"/>
      <c r="D18" s="177"/>
      <c r="E18" s="195"/>
      <c r="F18" s="186"/>
      <c r="G18" s="189"/>
      <c r="H18" s="196"/>
      <c r="I18" s="189"/>
      <c r="J18" s="196"/>
      <c r="K18" s="177"/>
      <c r="L18" s="524"/>
    </row>
    <row r="19" spans="1:20" s="191" customFormat="1" ht="15.75" x14ac:dyDescent="0.25">
      <c r="A19" s="190" t="s">
        <v>191</v>
      </c>
      <c r="B19" s="190"/>
      <c r="C19" s="190"/>
      <c r="D19" s="190"/>
      <c r="E19" s="190"/>
      <c r="F19" s="190"/>
      <c r="G19" s="190"/>
      <c r="H19" s="190"/>
      <c r="I19" s="192"/>
      <c r="J19" s="192"/>
      <c r="K19" s="193" t="str">
        <f>"(D - C)/"&amp;D17&amp;" :"</f>
        <v>(D - C)/5 :</v>
      </c>
      <c r="L19" s="194">
        <f>(K17-H17)/D17</f>
        <v>1132.9705790412263</v>
      </c>
      <c r="M19" s="197"/>
    </row>
    <row r="20" spans="1:20" ht="24.75" customHeight="1" x14ac:dyDescent="0.25">
      <c r="A20" s="186"/>
      <c r="B20" s="186"/>
      <c r="C20" s="186"/>
      <c r="D20" s="186"/>
      <c r="E20" s="186"/>
      <c r="F20" s="186"/>
      <c r="G20" s="186"/>
      <c r="H20" s="186"/>
      <c r="I20" s="186"/>
      <c r="K20" s="183"/>
      <c r="L20" s="198" t="s">
        <v>172</v>
      </c>
    </row>
    <row r="21" spans="1:20" ht="15.75" x14ac:dyDescent="0.25">
      <c r="A21" s="199" t="s">
        <v>173</v>
      </c>
      <c r="B21" s="186"/>
      <c r="C21" s="186"/>
      <c r="D21" s="186"/>
      <c r="E21" s="186"/>
      <c r="F21" s="186"/>
      <c r="G21" s="186"/>
      <c r="H21" s="186"/>
      <c r="I21" s="186"/>
      <c r="L21" s="200">
        <f>L19+L15</f>
        <v>3543.190966380891</v>
      </c>
    </row>
    <row r="22" spans="1:20" ht="15.75" x14ac:dyDescent="0.25"/>
    <row r="23" spans="1:20" ht="15.75" x14ac:dyDescent="0.25">
      <c r="A23" s="186" t="s">
        <v>174</v>
      </c>
      <c r="B23" s="186"/>
      <c r="C23" s="186"/>
      <c r="D23" s="186"/>
      <c r="E23" s="186"/>
      <c r="F23" s="186"/>
      <c r="G23" s="186"/>
      <c r="H23" s="186"/>
      <c r="I23" s="186"/>
    </row>
    <row r="24" spans="1:20" ht="15.75" x14ac:dyDescent="0.25">
      <c r="A24" s="186" t="str">
        <f>"additionnel ("&amp;F5*100&amp;"%). Dans le cas du prêt illustré ici, le coût caché additionnel représente "&amp;ROUND(L19/L21*100,0)&amp;"% du coût d'assurance total."</f>
        <v>additionnel (0,8%). Dans le cas du prêt illustré ici, le coût caché additionnel représente 32% du coût d'assurance total.</v>
      </c>
      <c r="B24" s="186"/>
      <c r="C24" s="186"/>
      <c r="D24" s="186"/>
      <c r="E24" s="186"/>
      <c r="F24" s="186"/>
      <c r="G24" s="186"/>
      <c r="H24" s="186"/>
      <c r="I24" s="186"/>
    </row>
    <row r="25" spans="1:20" ht="9" customHeight="1" x14ac:dyDescent="0.25">
      <c r="A25" s="186"/>
      <c r="B25" s="186"/>
      <c r="C25" s="186"/>
      <c r="D25" s="186"/>
      <c r="E25" s="186"/>
      <c r="F25" s="186"/>
      <c r="G25" s="186"/>
      <c r="H25" s="186"/>
      <c r="I25" s="186"/>
    </row>
    <row r="26" spans="1:20" s="201" customFormat="1" ht="15.75" hidden="1" x14ac:dyDescent="0.25">
      <c r="A26" s="201" t="s">
        <v>155</v>
      </c>
      <c r="M26" s="202">
        <f>IF('Coût ass. hypotécaire CALCUL'!G3="années",'Coût ass. hypotécaire CALCUL'!F3,IF('Coût ass. hypotécaire CALCUL'!G3="mois",'Coût ass. hypotécaire CALCUL'!F3/12,IF('Coût ass. hypotécaire CALCUL'!G3="quinzaines",'Coût ass. hypotécaire CALCUL'!F3/26,IF('Coût ass. hypotécaire CALCUL'!G3="semaines",'Coût ass. hypotécaire CALCUL'!F3/52,""))))</f>
        <v>30</v>
      </c>
      <c r="N26" s="201" t="s">
        <v>175</v>
      </c>
      <c r="Q26" s="202">
        <f>IF('Coût ass. hypotécaire CALCUL'!G3="années",12,IF('Coût ass. hypotécaire CALCUL'!G3="mois",12,IF('Coût ass. hypotécaire CALCUL'!G3="quinzaines",26,IF('Coût ass. hypotécaire CALCUL'!G3="semaines",52,""))))</f>
        <v>12</v>
      </c>
      <c r="S26" s="203" t="s">
        <v>176</v>
      </c>
      <c r="T26" s="201" t="s">
        <v>177</v>
      </c>
    </row>
    <row r="27" spans="1:20" s="201" customFormat="1" ht="15.75" hidden="1" x14ac:dyDescent="0.25">
      <c r="A27" s="201" t="s">
        <v>178</v>
      </c>
      <c r="L27" s="204">
        <f>(1+('Coût ass. hypotécaire CALCUL'!F4+'Coût ass. hypotécaire CALCUL'!F5)/2)^2-1</f>
        <v>3.8360999999999867E-2</v>
      </c>
      <c r="M27" s="204">
        <f>(1+'Coût ass. hypotécaire CALCUL'!F4/2)^2-1</f>
        <v>3.0224999999999724E-2</v>
      </c>
      <c r="T27" s="201" t="s">
        <v>176</v>
      </c>
    </row>
    <row r="28" spans="1:20" s="201" customFormat="1" ht="15.75" hidden="1" x14ac:dyDescent="0.25">
      <c r="A28" s="201" t="s">
        <v>179</v>
      </c>
      <c r="M28" s="202">
        <f>IF('Coût ass. hypotécaire CALCUL'!G3="années",'Coût ass. hypotécaire CALCUL'!D17,IF('Coût ass. hypotécaire CALCUL'!G3="mois",'Coût ass. hypotécaire CALCUL'!D17/12,IF('Coût ass. hypotécaire CALCUL'!G3="quinzaines",'Coût ass. hypotécaire CALCUL'!D17/26,IF('Coût ass. hypotécaire CALCUL'!G3="semaines",'Coût ass. hypotécaire CALCUL'!D17/52,""))))</f>
        <v>5</v>
      </c>
      <c r="N28" s="205" t="s">
        <v>175</v>
      </c>
    </row>
    <row r="29" spans="1:20" s="201" customFormat="1" ht="15.75" hidden="1" x14ac:dyDescent="0.25">
      <c r="A29" s="201" t="s">
        <v>180</v>
      </c>
      <c r="L29" s="206">
        <f>(1+L27)^(1/Q26)-1</f>
        <v>3.1418844450255001E-3</v>
      </c>
      <c r="M29" s="206">
        <f>(1+M27)^(1/Q26)-1</f>
        <v>2.4845167246487776E-3</v>
      </c>
      <c r="N29" s="207"/>
      <c r="Q29" s="201" t="s">
        <v>156</v>
      </c>
      <c r="R29" s="208" t="s">
        <v>181</v>
      </c>
    </row>
    <row r="30" spans="1:20" s="201" customFormat="1" ht="15.75" hidden="1" x14ac:dyDescent="0.25">
      <c r="A30" s="201" t="s">
        <v>182</v>
      </c>
      <c r="L30" s="209">
        <f>(1-(1+L29)^(-M26*Q26))/L29*IF(S26="début",(1+L29),1)</f>
        <v>215.39373949590831</v>
      </c>
      <c r="M30" s="209">
        <f>(1-(1+M29)^(-M26*Q26))/M29*IF(S26="début",(1+M29),1)</f>
        <v>237.7540981792614</v>
      </c>
      <c r="N30" s="201">
        <f>(1-(1+L29)^(-M28*Q26))/L29*IF(S26="début",(1+L29),1)</f>
        <v>54.605933159115217</v>
      </c>
      <c r="O30" s="201">
        <f>(1-(1+M29)^(-M28*Q26))/M29*IF(S26="début",(1+M29),1)</f>
        <v>55.677938049452095</v>
      </c>
      <c r="Q30" s="201" t="s">
        <v>183</v>
      </c>
      <c r="R30" s="201" t="s">
        <v>184</v>
      </c>
    </row>
    <row r="31" spans="1:20" s="201" customFormat="1" ht="15.75" hidden="1" x14ac:dyDescent="0.25">
      <c r="A31" s="201" t="s">
        <v>185</v>
      </c>
      <c r="L31" s="209">
        <f>'Coût ass. hypotécaire CALCUL'!F6/L30</f>
        <v>2135.6238165350128</v>
      </c>
      <c r="M31" s="209">
        <f>'Coût ass. hypotécaire CALCUL'!F6/M30</f>
        <v>1934.7721175900406</v>
      </c>
      <c r="N31" s="210" t="str">
        <f>'Coût ass. hypotécaire CALCUL'!G3</f>
        <v>années</v>
      </c>
      <c r="Q31" s="201" t="s">
        <v>186</v>
      </c>
      <c r="R31" s="201" t="s">
        <v>187</v>
      </c>
    </row>
    <row r="32" spans="1:20" s="201" customFormat="1" ht="15.75" hidden="1" x14ac:dyDescent="0.25">
      <c r="A32" s="201" t="s">
        <v>188</v>
      </c>
      <c r="L32" s="209">
        <f>L31*Q26</f>
        <v>25627.485798420152</v>
      </c>
      <c r="M32" s="209">
        <f>M31*Q26</f>
        <v>23217.265411080487</v>
      </c>
      <c r="Q32" s="201" t="s">
        <v>189</v>
      </c>
      <c r="R32" s="201" t="s">
        <v>190</v>
      </c>
    </row>
    <row r="33" spans="1:13" s="201" customFormat="1" ht="15.75" hidden="1" x14ac:dyDescent="0.25">
      <c r="A33" s="202"/>
      <c r="B33" s="202"/>
      <c r="C33" s="202"/>
      <c r="D33" s="202"/>
      <c r="E33" s="202"/>
      <c r="F33" s="202"/>
      <c r="G33" s="202"/>
      <c r="H33" s="202"/>
      <c r="I33" s="202"/>
      <c r="M33" s="202"/>
    </row>
    <row r="34" spans="1:13" s="201" customFormat="1" ht="15.75" hidden="1" x14ac:dyDescent="0.25">
      <c r="A34" s="202"/>
      <c r="B34" s="202"/>
      <c r="C34" s="202"/>
      <c r="D34" s="202"/>
      <c r="E34" s="202"/>
      <c r="F34" s="202"/>
      <c r="G34" s="202"/>
      <c r="H34" s="202"/>
      <c r="I34" s="202"/>
      <c r="M34" s="202"/>
    </row>
    <row r="35" spans="1:13" ht="15.75" hidden="1" x14ac:dyDescent="0.25">
      <c r="A35" s="177"/>
      <c r="B35" s="177"/>
      <c r="C35" s="177"/>
      <c r="D35" s="177"/>
      <c r="E35" s="177"/>
      <c r="F35" s="177"/>
      <c r="G35" s="177"/>
      <c r="H35" s="177"/>
      <c r="I35" s="177"/>
    </row>
    <row r="36" spans="1:13" ht="15.75" hidden="1" x14ac:dyDescent="0.25">
      <c r="A36" s="177"/>
      <c r="B36" s="177"/>
      <c r="C36" s="177"/>
      <c r="D36" s="177"/>
      <c r="E36" s="177"/>
      <c r="F36" s="177"/>
      <c r="G36" s="177"/>
      <c r="H36" s="177"/>
      <c r="I36" s="177"/>
    </row>
    <row r="37" spans="1:13" ht="15.75" hidden="1" x14ac:dyDescent="0.25">
      <c r="A37" s="177"/>
      <c r="B37" s="177"/>
      <c r="C37" s="177"/>
      <c r="D37" s="177"/>
      <c r="E37" s="177"/>
      <c r="F37" s="177"/>
      <c r="G37" s="177"/>
      <c r="H37" s="177"/>
      <c r="I37" s="177"/>
    </row>
    <row r="38" spans="1:13" ht="15.75" hidden="1" x14ac:dyDescent="0.25">
      <c r="A38" s="177"/>
      <c r="B38" s="177"/>
      <c r="C38" s="177"/>
      <c r="D38" s="177"/>
      <c r="E38" s="177"/>
      <c r="F38" s="177"/>
      <c r="G38" s="177"/>
      <c r="H38" s="177"/>
      <c r="I38" s="177"/>
    </row>
    <row r="39" spans="1:13" ht="15.75" hidden="1" x14ac:dyDescent="0.25">
      <c r="A39" s="177"/>
      <c r="B39" s="177"/>
      <c r="C39" s="177"/>
      <c r="D39" s="177"/>
      <c r="E39" s="177"/>
      <c r="F39" s="177"/>
      <c r="G39" s="177"/>
      <c r="H39" s="177"/>
      <c r="I39" s="177"/>
    </row>
    <row r="40" spans="1:13" ht="15.75" hidden="1" x14ac:dyDescent="0.25">
      <c r="A40" s="177"/>
      <c r="B40" s="177"/>
      <c r="C40" s="177"/>
      <c r="D40" s="177"/>
      <c r="E40" s="177"/>
      <c r="F40" s="177"/>
      <c r="G40" s="177"/>
      <c r="H40" s="177"/>
      <c r="I40" s="177"/>
    </row>
    <row r="41" spans="1:13" ht="15.75" hidden="1" x14ac:dyDescent="0.25">
      <c r="A41" s="177"/>
      <c r="B41" s="177"/>
      <c r="C41" s="177"/>
      <c r="D41" s="177"/>
      <c r="E41" s="177"/>
      <c r="F41" s="177"/>
      <c r="G41" s="177"/>
      <c r="H41" s="177"/>
      <c r="I41" s="177"/>
    </row>
    <row r="42" spans="1:13" ht="15.75" hidden="1" x14ac:dyDescent="0.25">
      <c r="A42" s="177"/>
      <c r="B42" s="177"/>
      <c r="C42" s="177"/>
      <c r="D42" s="177"/>
      <c r="E42" s="177"/>
      <c r="F42" s="177"/>
      <c r="G42" s="177"/>
      <c r="H42" s="177"/>
      <c r="I42" s="177"/>
    </row>
    <row r="43" spans="1:13" ht="15.75" hidden="1" x14ac:dyDescent="0.25">
      <c r="A43" s="177"/>
      <c r="B43" s="177"/>
      <c r="C43" s="177"/>
      <c r="D43" s="177"/>
      <c r="E43" s="177"/>
      <c r="F43" s="177"/>
      <c r="G43" s="177"/>
      <c r="H43" s="177"/>
      <c r="I43" s="177"/>
    </row>
    <row r="44" spans="1:13" ht="15.75" hidden="1" x14ac:dyDescent="0.25">
      <c r="A44" s="177"/>
      <c r="B44" s="177"/>
      <c r="C44" s="177"/>
      <c r="D44" s="177"/>
      <c r="E44" s="177"/>
      <c r="F44" s="177"/>
      <c r="G44" s="177"/>
      <c r="H44" s="177"/>
      <c r="I44" s="177"/>
    </row>
    <row r="45" spans="1:13" ht="15.75" hidden="1" x14ac:dyDescent="0.25">
      <c r="A45" s="177"/>
      <c r="B45" s="177"/>
      <c r="C45" s="177"/>
      <c r="D45" s="177"/>
      <c r="E45" s="177"/>
      <c r="F45" s="177"/>
      <c r="G45" s="177"/>
      <c r="H45" s="177"/>
      <c r="I45" s="177"/>
    </row>
    <row r="46" spans="1:13" ht="15.75" hidden="1" x14ac:dyDescent="0.25">
      <c r="A46" s="177"/>
      <c r="B46" s="177"/>
      <c r="C46" s="177"/>
      <c r="D46" s="177"/>
      <c r="E46" s="177"/>
      <c r="F46" s="177"/>
      <c r="G46" s="177"/>
      <c r="H46" s="177"/>
      <c r="I46" s="177"/>
    </row>
    <row r="47" spans="1:13" ht="15.75" hidden="1" x14ac:dyDescent="0.25"/>
    <row r="48" spans="1:13" ht="15.75" hidden="1" x14ac:dyDescent="0.25"/>
    <row r="49" ht="15.75" hidden="1" x14ac:dyDescent="0.25"/>
    <row r="50" ht="15.75" hidden="1" x14ac:dyDescent="0.25"/>
    <row r="51" ht="15.75" hidden="1" x14ac:dyDescent="0.25"/>
    <row r="52" ht="15.75" hidden="1" x14ac:dyDescent="0.25"/>
    <row r="53" ht="15.75" hidden="1" x14ac:dyDescent="0.25"/>
    <row r="54" ht="15.75" hidden="1" x14ac:dyDescent="0.25"/>
    <row r="55" ht="15.75" hidden="1" x14ac:dyDescent="0.25"/>
    <row r="56" ht="15.75" hidden="1" x14ac:dyDescent="0.25"/>
    <row r="57" ht="15.75" hidden="1" x14ac:dyDescent="0.25"/>
    <row r="58" ht="15.75" hidden="1" x14ac:dyDescent="0.25"/>
    <row r="59" ht="15.75" hidden="1" x14ac:dyDescent="0.25"/>
    <row r="60" ht="15.75" hidden="1" x14ac:dyDescent="0.25"/>
    <row r="61" ht="15.75" hidden="1" x14ac:dyDescent="0.25"/>
    <row r="62" ht="15.75" hidden="1" x14ac:dyDescent="0.25"/>
    <row r="63" ht="15.75" hidden="1" x14ac:dyDescent="0.25"/>
    <row r="64" ht="15.75" hidden="1" x14ac:dyDescent="0.25"/>
    <row r="65" ht="15.75" hidden="1" x14ac:dyDescent="0.25"/>
    <row r="66" ht="15.75" hidden="1" x14ac:dyDescent="0.25"/>
    <row r="67" ht="15.75" hidden="1" x14ac:dyDescent="0.25"/>
    <row r="68" ht="15.75" hidden="1" x14ac:dyDescent="0.25"/>
    <row r="69" ht="15.75" hidden="1" x14ac:dyDescent="0.25"/>
    <row r="70" ht="15.75" hidden="1" x14ac:dyDescent="0.25"/>
    <row r="71" ht="15.75" hidden="1" x14ac:dyDescent="0.25"/>
    <row r="72" ht="15.75" hidden="1" x14ac:dyDescent="0.25"/>
    <row r="73" ht="15.75" hidden="1" x14ac:dyDescent="0.25"/>
    <row r="74" ht="15.75" hidden="1" x14ac:dyDescent="0.25"/>
    <row r="75" ht="15.75" hidden="1" x14ac:dyDescent="0.25"/>
    <row r="76" ht="15.75" hidden="1" x14ac:dyDescent="0.25"/>
    <row r="77" ht="15.75" hidden="1" x14ac:dyDescent="0.25"/>
    <row r="78" ht="15.75" hidden="1" x14ac:dyDescent="0.25"/>
    <row r="79" ht="15.75" hidden="1" x14ac:dyDescent="0.25"/>
    <row r="80" ht="15.75" hidden="1" x14ac:dyDescent="0.25"/>
    <row r="81" ht="15.75" hidden="1" x14ac:dyDescent="0.25"/>
  </sheetData>
  <sheetProtection algorithmName="SHA-512" hashValue="HE5TSjbLQ9KzbixsRnNjcFo7dDMVPVxnDShVAPk1DfgRd2UtJnHNot1+Xj9CR/5IIdllum+Oo7rIlLp4psnwCQ==" saltValue="C4ITEfBCMoXrOW+JGmOTOQ==" spinCount="100000" sheet="1" objects="1" scenarios="1" selectLockedCells="1"/>
  <mergeCells count="2">
    <mergeCell ref="A1:N1"/>
    <mergeCell ref="L16:L18"/>
  </mergeCells>
  <dataValidations count="2">
    <dataValidation type="list" allowBlank="1" showInputMessage="1" showErrorMessage="1" sqref="G3" xr:uid="{4B7ECF91-C685-4008-BF9F-9DF01D1CE5C9}">
      <formula1>$Q$29:$Q$32</formula1>
    </dataValidation>
    <dataValidation type="list" allowBlank="1" showInputMessage="1" showErrorMessage="1" sqref="S26" xr:uid="{D88E5652-BE39-4C88-BD9B-31D25141DFB8}">
      <formula1>$T$1:$T$2</formula1>
    </dataValidation>
  </dataValidations>
  <printOptions horizontalCentered="1"/>
  <pageMargins left="0.11811023622047245" right="0.11811023622047245" top="0.35433070866141736" bottom="0.35433070866141736" header="0.31496062992125984" footer="0.31496062992125984"/>
  <pageSetup scale="8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0C9EE-22BD-48A3-BADB-85259DEE6642}">
  <dimension ref="A1:I377"/>
  <sheetViews>
    <sheetView zoomScaleNormal="100" zoomScaleSheetLayoutView="85" workbookViewId="0"/>
  </sheetViews>
  <sheetFormatPr baseColWidth="10" defaultColWidth="0" defaultRowHeight="15" zeroHeight="1" x14ac:dyDescent="0.25"/>
  <cols>
    <col min="1" max="1" width="11.85546875" style="212" customWidth="1"/>
    <col min="2" max="2" width="16.140625" style="212" customWidth="1"/>
    <col min="3" max="4" width="14.42578125" style="212" customWidth="1"/>
    <col min="5" max="5" width="15.28515625" style="212" customWidth="1"/>
    <col min="6" max="6" width="14.42578125" style="212" customWidth="1"/>
    <col min="7" max="7" width="10.85546875" style="212" hidden="1" customWidth="1"/>
    <col min="8" max="8" width="22.42578125" style="212" hidden="1" customWidth="1"/>
    <col min="9" max="9" width="0" style="212" hidden="1" customWidth="1"/>
    <col min="10" max="16384" width="10.85546875" style="212" hidden="1"/>
  </cols>
  <sheetData>
    <row r="1" spans="1:9" ht="33.75" customHeight="1" x14ac:dyDescent="0.25">
      <c r="A1" s="217" t="s">
        <v>227</v>
      </c>
      <c r="B1" s="216" t="s">
        <v>39</v>
      </c>
      <c r="C1" s="217" t="s">
        <v>145</v>
      </c>
      <c r="D1" s="216" t="s">
        <v>146</v>
      </c>
      <c r="E1" s="525" t="s">
        <v>147</v>
      </c>
      <c r="F1" s="525"/>
    </row>
    <row r="2" spans="1:9" x14ac:dyDescent="0.25">
      <c r="A2" s="229">
        <v>45000</v>
      </c>
      <c r="B2" s="227">
        <v>4.4999999999999998E-2</v>
      </c>
      <c r="C2" s="228">
        <v>10</v>
      </c>
      <c r="D2" s="218">
        <f>-PMT(B2/12,12*C2,B6)</f>
        <v>466.37283940656886</v>
      </c>
      <c r="E2" s="526">
        <v>43831</v>
      </c>
      <c r="F2" s="526"/>
    </row>
    <row r="3" spans="1:9" x14ac:dyDescent="0.25">
      <c r="A3" s="211"/>
      <c r="B3" s="219"/>
      <c r="C3" s="220"/>
      <c r="D3" s="211"/>
      <c r="E3" s="221"/>
      <c r="F3" s="211"/>
    </row>
    <row r="4" spans="1:9" ht="21" x14ac:dyDescent="0.35">
      <c r="A4" s="527" t="s">
        <v>192</v>
      </c>
      <c r="B4" s="527"/>
      <c r="C4" s="527"/>
      <c r="D4" s="527"/>
      <c r="E4" s="527"/>
      <c r="F4" s="527"/>
      <c r="H4" s="215"/>
    </row>
    <row r="5" spans="1:9" ht="31.5" x14ac:dyDescent="0.25">
      <c r="A5" s="222" t="s">
        <v>148</v>
      </c>
      <c r="B5" s="222" t="s">
        <v>149</v>
      </c>
      <c r="C5" s="223" t="s">
        <v>146</v>
      </c>
      <c r="D5" s="223" t="s">
        <v>150</v>
      </c>
      <c r="E5" s="223" t="s">
        <v>151</v>
      </c>
      <c r="F5" s="222" t="s">
        <v>152</v>
      </c>
      <c r="H5" s="224"/>
      <c r="I5" s="225"/>
    </row>
    <row r="6" spans="1:9" x14ac:dyDescent="0.25">
      <c r="A6" s="226">
        <f>E2</f>
        <v>43831</v>
      </c>
      <c r="B6" s="213">
        <f>A2</f>
        <v>45000</v>
      </c>
      <c r="C6" s="214">
        <f>IF(ROUND(Tableau3626[[#This Row],[Solde début période]],2)&lt;=0,0,$D$2)</f>
        <v>466.37283940656886</v>
      </c>
      <c r="D6" s="214">
        <f t="shared" ref="D6:D69" si="0">B6*($B$2/12)</f>
        <v>168.75</v>
      </c>
      <c r="E6" s="214">
        <f t="shared" ref="E6:E69" si="1">C6-D6</f>
        <v>297.62283940656886</v>
      </c>
      <c r="F6" s="213">
        <f t="shared" ref="F6:F69" si="2">B6-E6</f>
        <v>44702.377160593431</v>
      </c>
      <c r="G6" s="213"/>
    </row>
    <row r="7" spans="1:9" x14ac:dyDescent="0.25">
      <c r="A7" s="226">
        <f>EDATE(A6,1)</f>
        <v>43862</v>
      </c>
      <c r="B7" s="213">
        <f t="shared" ref="B7:B70" si="3">F6</f>
        <v>44702.377160593431</v>
      </c>
      <c r="C7" s="214">
        <f>IF(ROUND(Tableau3626[[#This Row],[Solde début période]],2)&lt;=0,0,$D$2)</f>
        <v>466.37283940656886</v>
      </c>
      <c r="D7" s="214">
        <f t="shared" si="0"/>
        <v>167.63391435222536</v>
      </c>
      <c r="E7" s="214">
        <f t="shared" si="1"/>
        <v>298.7389250543435</v>
      </c>
      <c r="F7" s="213">
        <f t="shared" si="2"/>
        <v>44403.638235539089</v>
      </c>
      <c r="G7" s="213"/>
    </row>
    <row r="8" spans="1:9" x14ac:dyDescent="0.25">
      <c r="A8" s="226">
        <f t="shared" ref="A8:A71" si="4">EDATE(A7,1)</f>
        <v>43891</v>
      </c>
      <c r="B8" s="213">
        <f t="shared" si="3"/>
        <v>44403.638235539089</v>
      </c>
      <c r="C8" s="214">
        <f>IF(ROUND(Tableau3626[[#This Row],[Solde début période]],2)&lt;=0,0,$D$2)</f>
        <v>466.37283940656886</v>
      </c>
      <c r="D8" s="214">
        <f t="shared" si="0"/>
        <v>166.51364338327159</v>
      </c>
      <c r="E8" s="214">
        <f t="shared" si="1"/>
        <v>299.85919602329727</v>
      </c>
      <c r="F8" s="213">
        <f t="shared" si="2"/>
        <v>44103.779039515794</v>
      </c>
      <c r="G8" s="213"/>
    </row>
    <row r="9" spans="1:9" x14ac:dyDescent="0.25">
      <c r="A9" s="226">
        <f t="shared" si="4"/>
        <v>43922</v>
      </c>
      <c r="B9" s="213">
        <f t="shared" si="3"/>
        <v>44103.779039515794</v>
      </c>
      <c r="C9" s="214">
        <f>IF(ROUND(Tableau3626[[#This Row],[Solde début période]],2)&lt;=0,0,$D$2)</f>
        <v>466.37283940656886</v>
      </c>
      <c r="D9" s="214">
        <f t="shared" si="0"/>
        <v>165.38917139818423</v>
      </c>
      <c r="E9" s="214">
        <f t="shared" si="1"/>
        <v>300.9836680083846</v>
      </c>
      <c r="F9" s="213">
        <f t="shared" si="2"/>
        <v>43802.795371507411</v>
      </c>
      <c r="G9" s="213"/>
    </row>
    <row r="10" spans="1:9" x14ac:dyDescent="0.25">
      <c r="A10" s="226">
        <f t="shared" si="4"/>
        <v>43952</v>
      </c>
      <c r="B10" s="213">
        <f t="shared" si="3"/>
        <v>43802.795371507411</v>
      </c>
      <c r="C10" s="214">
        <f>IF(ROUND(Tableau3626[[#This Row],[Solde début période]],2)&lt;=0,0,$D$2)</f>
        <v>466.37283940656886</v>
      </c>
      <c r="D10" s="214">
        <f t="shared" si="0"/>
        <v>164.26048264315278</v>
      </c>
      <c r="E10" s="214">
        <f t="shared" si="1"/>
        <v>302.11235676341607</v>
      </c>
      <c r="F10" s="213">
        <f t="shared" si="2"/>
        <v>43500.683014743998</v>
      </c>
      <c r="G10" s="213"/>
    </row>
    <row r="11" spans="1:9" x14ac:dyDescent="0.25">
      <c r="A11" s="226">
        <f t="shared" si="4"/>
        <v>43983</v>
      </c>
      <c r="B11" s="213">
        <f t="shared" si="3"/>
        <v>43500.683014743998</v>
      </c>
      <c r="C11" s="214">
        <f>IF(ROUND(Tableau3626[[#This Row],[Solde début période]],2)&lt;=0,0,$D$2)</f>
        <v>466.37283940656886</v>
      </c>
      <c r="D11" s="214">
        <f t="shared" si="0"/>
        <v>163.12756130528999</v>
      </c>
      <c r="E11" s="214">
        <f t="shared" si="1"/>
        <v>303.24527810127887</v>
      </c>
      <c r="F11" s="213">
        <f t="shared" si="2"/>
        <v>43197.437736642722</v>
      </c>
      <c r="G11" s="213"/>
    </row>
    <row r="12" spans="1:9" x14ac:dyDescent="0.25">
      <c r="A12" s="226">
        <f t="shared" si="4"/>
        <v>44013</v>
      </c>
      <c r="B12" s="213">
        <f t="shared" si="3"/>
        <v>43197.437736642722</v>
      </c>
      <c r="C12" s="214">
        <f>IF(ROUND(Tableau3626[[#This Row],[Solde début période]],2)&lt;=0,0,$D$2)</f>
        <v>466.37283940656886</v>
      </c>
      <c r="D12" s="214">
        <f t="shared" si="0"/>
        <v>161.99039151241021</v>
      </c>
      <c r="E12" s="214">
        <f t="shared" si="1"/>
        <v>304.38244789415864</v>
      </c>
      <c r="F12" s="213">
        <f t="shared" si="2"/>
        <v>42893.055288748561</v>
      </c>
      <c r="G12" s="213"/>
    </row>
    <row r="13" spans="1:9" x14ac:dyDescent="0.25">
      <c r="A13" s="226">
        <f t="shared" si="4"/>
        <v>44044</v>
      </c>
      <c r="B13" s="213">
        <f t="shared" si="3"/>
        <v>42893.055288748561</v>
      </c>
      <c r="C13" s="214">
        <f>IF(ROUND(Tableau3626[[#This Row],[Solde début période]],2)&lt;=0,0,$D$2)</f>
        <v>466.37283940656886</v>
      </c>
      <c r="D13" s="214">
        <f t="shared" si="0"/>
        <v>160.84895733280709</v>
      </c>
      <c r="E13" s="214">
        <f t="shared" si="1"/>
        <v>305.5238820737618</v>
      </c>
      <c r="F13" s="213">
        <f t="shared" si="2"/>
        <v>42587.531406674796</v>
      </c>
      <c r="G13" s="213"/>
    </row>
    <row r="14" spans="1:9" x14ac:dyDescent="0.25">
      <c r="A14" s="226">
        <f t="shared" si="4"/>
        <v>44075</v>
      </c>
      <c r="B14" s="213">
        <f t="shared" si="3"/>
        <v>42587.531406674796</v>
      </c>
      <c r="C14" s="214">
        <f>IF(ROUND(Tableau3626[[#This Row],[Solde début période]],2)&lt;=0,0,$D$2)</f>
        <v>466.37283940656886</v>
      </c>
      <c r="D14" s="214">
        <f t="shared" si="0"/>
        <v>159.70324277503047</v>
      </c>
      <c r="E14" s="214">
        <f t="shared" si="1"/>
        <v>306.66959663153841</v>
      </c>
      <c r="F14" s="213">
        <f t="shared" si="2"/>
        <v>42280.861810043258</v>
      </c>
      <c r="G14" s="213"/>
    </row>
    <row r="15" spans="1:9" x14ac:dyDescent="0.25">
      <c r="A15" s="226">
        <f t="shared" si="4"/>
        <v>44105</v>
      </c>
      <c r="B15" s="213">
        <f t="shared" si="3"/>
        <v>42280.861810043258</v>
      </c>
      <c r="C15" s="214">
        <f>IF(ROUND(Tableau3626[[#This Row],[Solde début période]],2)&lt;=0,0,$D$2)</f>
        <v>466.37283940656886</v>
      </c>
      <c r="D15" s="214">
        <f t="shared" si="0"/>
        <v>158.55323178766221</v>
      </c>
      <c r="E15" s="214">
        <f t="shared" si="1"/>
        <v>307.81960761890662</v>
      </c>
      <c r="F15" s="213">
        <f t="shared" si="2"/>
        <v>41973.042202424353</v>
      </c>
      <c r="G15" s="213"/>
    </row>
    <row r="16" spans="1:9" x14ac:dyDescent="0.25">
      <c r="A16" s="226">
        <f t="shared" si="4"/>
        <v>44136</v>
      </c>
      <c r="B16" s="213">
        <f t="shared" si="3"/>
        <v>41973.042202424353</v>
      </c>
      <c r="C16" s="214">
        <f>IF(ROUND(Tableau3626[[#This Row],[Solde début période]],2)&lt;=0,0,$D$2)</f>
        <v>466.37283940656886</v>
      </c>
      <c r="D16" s="214">
        <f t="shared" si="0"/>
        <v>157.39890825909131</v>
      </c>
      <c r="E16" s="214">
        <f t="shared" si="1"/>
        <v>308.97393114747751</v>
      </c>
      <c r="F16" s="213">
        <f t="shared" si="2"/>
        <v>41664.068271276876</v>
      </c>
      <c r="G16" s="213"/>
    </row>
    <row r="17" spans="1:7" x14ac:dyDescent="0.25">
      <c r="A17" s="226">
        <f t="shared" si="4"/>
        <v>44166</v>
      </c>
      <c r="B17" s="213">
        <f t="shared" si="3"/>
        <v>41664.068271276876</v>
      </c>
      <c r="C17" s="214">
        <f>IF(ROUND(Tableau3626[[#This Row],[Solde début période]],2)&lt;=0,0,$D$2)</f>
        <v>466.37283940656886</v>
      </c>
      <c r="D17" s="214">
        <f t="shared" si="0"/>
        <v>156.24025601728829</v>
      </c>
      <c r="E17" s="214">
        <f t="shared" si="1"/>
        <v>310.13258338928057</v>
      </c>
      <c r="F17" s="213">
        <f t="shared" si="2"/>
        <v>41353.935687887599</v>
      </c>
      <c r="G17" s="213"/>
    </row>
    <row r="18" spans="1:7" x14ac:dyDescent="0.25">
      <c r="A18" s="226">
        <f t="shared" si="4"/>
        <v>44197</v>
      </c>
      <c r="B18" s="213">
        <f t="shared" si="3"/>
        <v>41353.935687887599</v>
      </c>
      <c r="C18" s="214">
        <f>IF(ROUND(Tableau3626[[#This Row],[Solde début période]],2)&lt;=0,0,$D$2)</f>
        <v>466.37283940656886</v>
      </c>
      <c r="D18" s="214">
        <f t="shared" si="0"/>
        <v>155.07725882957848</v>
      </c>
      <c r="E18" s="214">
        <f t="shared" si="1"/>
        <v>311.29558057699035</v>
      </c>
      <c r="F18" s="213">
        <f t="shared" si="2"/>
        <v>41042.64010731061</v>
      </c>
      <c r="G18" s="213"/>
    </row>
    <row r="19" spans="1:7" x14ac:dyDescent="0.25">
      <c r="A19" s="226">
        <f t="shared" si="4"/>
        <v>44228</v>
      </c>
      <c r="B19" s="213">
        <f t="shared" si="3"/>
        <v>41042.64010731061</v>
      </c>
      <c r="C19" s="214">
        <f>IF(ROUND(Tableau3626[[#This Row],[Solde début période]],2)&lt;=0,0,$D$2)</f>
        <v>466.37283940656886</v>
      </c>
      <c r="D19" s="214">
        <f t="shared" si="0"/>
        <v>153.90990040241479</v>
      </c>
      <c r="E19" s="214">
        <f t="shared" si="1"/>
        <v>312.46293900415407</v>
      </c>
      <c r="F19" s="213">
        <f t="shared" si="2"/>
        <v>40730.177168306458</v>
      </c>
      <c r="G19" s="213"/>
    </row>
    <row r="20" spans="1:7" x14ac:dyDescent="0.25">
      <c r="A20" s="226">
        <f t="shared" si="4"/>
        <v>44256</v>
      </c>
      <c r="B20" s="213">
        <f t="shared" si="3"/>
        <v>40730.177168306458</v>
      </c>
      <c r="C20" s="214">
        <f>IF(ROUND(Tableau3626[[#This Row],[Solde début période]],2)&lt;=0,0,$D$2)</f>
        <v>466.37283940656886</v>
      </c>
      <c r="D20" s="214">
        <f t="shared" si="0"/>
        <v>152.7381643811492</v>
      </c>
      <c r="E20" s="214">
        <f t="shared" si="1"/>
        <v>313.63467502541965</v>
      </c>
      <c r="F20" s="213">
        <f t="shared" si="2"/>
        <v>40416.542493281042</v>
      </c>
      <c r="G20" s="213"/>
    </row>
    <row r="21" spans="1:7" x14ac:dyDescent="0.25">
      <c r="A21" s="226">
        <f t="shared" si="4"/>
        <v>44287</v>
      </c>
      <c r="B21" s="213">
        <f t="shared" si="3"/>
        <v>40416.542493281042</v>
      </c>
      <c r="C21" s="214">
        <f>IF(ROUND(Tableau3626[[#This Row],[Solde début période]],2)&lt;=0,0,$D$2)</f>
        <v>466.37283940656886</v>
      </c>
      <c r="D21" s="214">
        <f t="shared" si="0"/>
        <v>151.56203434980389</v>
      </c>
      <c r="E21" s="214">
        <f t="shared" si="1"/>
        <v>314.81080505676493</v>
      </c>
      <c r="F21" s="213">
        <f t="shared" si="2"/>
        <v>40101.731688224274</v>
      </c>
      <c r="G21" s="213"/>
    </row>
    <row r="22" spans="1:7" x14ac:dyDescent="0.25">
      <c r="A22" s="226">
        <f t="shared" si="4"/>
        <v>44317</v>
      </c>
      <c r="B22" s="213">
        <f t="shared" si="3"/>
        <v>40101.731688224274</v>
      </c>
      <c r="C22" s="214">
        <f>IF(ROUND(Tableau3626[[#This Row],[Solde début période]],2)&lt;=0,0,$D$2)</f>
        <v>466.37283940656886</v>
      </c>
      <c r="D22" s="214">
        <f t="shared" si="0"/>
        <v>150.38149383084101</v>
      </c>
      <c r="E22" s="214">
        <f t="shared" si="1"/>
        <v>315.99134557572785</v>
      </c>
      <c r="F22" s="213">
        <f t="shared" si="2"/>
        <v>39785.740342648547</v>
      </c>
      <c r="G22" s="213"/>
    </row>
    <row r="23" spans="1:7" x14ac:dyDescent="0.25">
      <c r="A23" s="226">
        <f t="shared" si="4"/>
        <v>44348</v>
      </c>
      <c r="B23" s="213">
        <f t="shared" si="3"/>
        <v>39785.740342648547</v>
      </c>
      <c r="C23" s="214">
        <f>IF(ROUND(Tableau3626[[#This Row],[Solde début période]],2)&lt;=0,0,$D$2)</f>
        <v>466.37283940656886</v>
      </c>
      <c r="D23" s="214">
        <f t="shared" si="0"/>
        <v>149.19652628493205</v>
      </c>
      <c r="E23" s="214">
        <f t="shared" si="1"/>
        <v>317.17631312163678</v>
      </c>
      <c r="F23" s="213">
        <f t="shared" si="2"/>
        <v>39468.564029526911</v>
      </c>
      <c r="G23" s="213"/>
    </row>
    <row r="24" spans="1:7" x14ac:dyDescent="0.25">
      <c r="A24" s="226">
        <f t="shared" si="4"/>
        <v>44378</v>
      </c>
      <c r="B24" s="213">
        <f t="shared" si="3"/>
        <v>39468.564029526911</v>
      </c>
      <c r="C24" s="214">
        <f>IF(ROUND(Tableau3626[[#This Row],[Solde début période]],2)&lt;=0,0,$D$2)</f>
        <v>466.37283940656886</v>
      </c>
      <c r="D24" s="214">
        <f t="shared" si="0"/>
        <v>148.00711511072592</v>
      </c>
      <c r="E24" s="214">
        <f t="shared" si="1"/>
        <v>318.36572429584294</v>
      </c>
      <c r="F24" s="213">
        <f t="shared" si="2"/>
        <v>39150.198305231068</v>
      </c>
      <c r="G24" s="213"/>
    </row>
    <row r="25" spans="1:7" x14ac:dyDescent="0.25">
      <c r="A25" s="226">
        <f t="shared" si="4"/>
        <v>44409</v>
      </c>
      <c r="B25" s="213">
        <f t="shared" si="3"/>
        <v>39150.198305231068</v>
      </c>
      <c r="C25" s="214">
        <f>IF(ROUND(Tableau3626[[#This Row],[Solde début période]],2)&lt;=0,0,$D$2)</f>
        <v>466.37283940656886</v>
      </c>
      <c r="D25" s="214">
        <f t="shared" si="0"/>
        <v>146.81324364461651</v>
      </c>
      <c r="E25" s="214">
        <f t="shared" si="1"/>
        <v>319.55959576195232</v>
      </c>
      <c r="F25" s="213">
        <f t="shared" si="2"/>
        <v>38830.638709469116</v>
      </c>
      <c r="G25" s="213"/>
    </row>
    <row r="26" spans="1:7" x14ac:dyDescent="0.25">
      <c r="A26" s="226">
        <f t="shared" si="4"/>
        <v>44440</v>
      </c>
      <c r="B26" s="213">
        <f t="shared" si="3"/>
        <v>38830.638709469116</v>
      </c>
      <c r="C26" s="214">
        <f>IF(ROUND(Tableau3626[[#This Row],[Solde début période]],2)&lt;=0,0,$D$2)</f>
        <v>466.37283940656886</v>
      </c>
      <c r="D26" s="214">
        <f t="shared" si="0"/>
        <v>145.61489516050918</v>
      </c>
      <c r="E26" s="214">
        <f t="shared" si="1"/>
        <v>320.75794424605965</v>
      </c>
      <c r="F26" s="213">
        <f t="shared" si="2"/>
        <v>38509.880765223053</v>
      </c>
      <c r="G26" s="213"/>
    </row>
    <row r="27" spans="1:7" x14ac:dyDescent="0.25">
      <c r="A27" s="226">
        <f t="shared" si="4"/>
        <v>44470</v>
      </c>
      <c r="B27" s="213">
        <f t="shared" si="3"/>
        <v>38509.880765223053</v>
      </c>
      <c r="C27" s="214">
        <f>IF(ROUND(Tableau3626[[#This Row],[Solde début période]],2)&lt;=0,0,$D$2)</f>
        <v>466.37283940656886</v>
      </c>
      <c r="D27" s="214">
        <f t="shared" si="0"/>
        <v>144.41205286958643</v>
      </c>
      <c r="E27" s="214">
        <f t="shared" si="1"/>
        <v>321.96078653698243</v>
      </c>
      <c r="F27" s="213">
        <f t="shared" si="2"/>
        <v>38187.91997868607</v>
      </c>
      <c r="G27" s="213"/>
    </row>
    <row r="28" spans="1:7" x14ac:dyDescent="0.25">
      <c r="A28" s="226">
        <f t="shared" si="4"/>
        <v>44501</v>
      </c>
      <c r="B28" s="213">
        <f t="shared" si="3"/>
        <v>38187.91997868607</v>
      </c>
      <c r="C28" s="214">
        <f>IF(ROUND(Tableau3626[[#This Row],[Solde début période]],2)&lt;=0,0,$D$2)</f>
        <v>466.37283940656886</v>
      </c>
      <c r="D28" s="214">
        <f t="shared" si="0"/>
        <v>143.20469992007276</v>
      </c>
      <c r="E28" s="214">
        <f t="shared" si="1"/>
        <v>323.1681394864961</v>
      </c>
      <c r="F28" s="213">
        <f t="shared" si="2"/>
        <v>37864.751839199576</v>
      </c>
      <c r="G28" s="213"/>
    </row>
    <row r="29" spans="1:7" x14ac:dyDescent="0.25">
      <c r="A29" s="226">
        <f t="shared" si="4"/>
        <v>44531</v>
      </c>
      <c r="B29" s="213">
        <f t="shared" si="3"/>
        <v>37864.751839199576</v>
      </c>
      <c r="C29" s="214">
        <f>IF(ROUND(Tableau3626[[#This Row],[Solde début période]],2)&lt;=0,0,$D$2)</f>
        <v>466.37283940656886</v>
      </c>
      <c r="D29" s="214">
        <f t="shared" si="0"/>
        <v>141.99281939699841</v>
      </c>
      <c r="E29" s="214">
        <f t="shared" si="1"/>
        <v>324.38002000957044</v>
      </c>
      <c r="F29" s="213">
        <f t="shared" si="2"/>
        <v>37540.371819190004</v>
      </c>
      <c r="G29" s="213"/>
    </row>
    <row r="30" spans="1:7" x14ac:dyDescent="0.25">
      <c r="A30" s="226">
        <f t="shared" si="4"/>
        <v>44562</v>
      </c>
      <c r="B30" s="213">
        <f t="shared" si="3"/>
        <v>37540.371819190004</v>
      </c>
      <c r="C30" s="214">
        <f>IF(ROUND(Tableau3626[[#This Row],[Solde début période]],2)&lt;=0,0,$D$2)</f>
        <v>466.37283940656886</v>
      </c>
      <c r="D30" s="214">
        <f t="shared" si="0"/>
        <v>140.7763943219625</v>
      </c>
      <c r="E30" s="214">
        <f t="shared" si="1"/>
        <v>325.59644508460633</v>
      </c>
      <c r="F30" s="213">
        <f t="shared" si="2"/>
        <v>37214.775374105397</v>
      </c>
      <c r="G30" s="213"/>
    </row>
    <row r="31" spans="1:7" x14ac:dyDescent="0.25">
      <c r="A31" s="226">
        <f t="shared" si="4"/>
        <v>44593</v>
      </c>
      <c r="B31" s="213">
        <f t="shared" si="3"/>
        <v>37214.775374105397</v>
      </c>
      <c r="C31" s="214">
        <f>IF(ROUND(Tableau3626[[#This Row],[Solde début période]],2)&lt;=0,0,$D$2)</f>
        <v>466.37283940656886</v>
      </c>
      <c r="D31" s="214">
        <f t="shared" si="0"/>
        <v>139.55540765289524</v>
      </c>
      <c r="E31" s="214">
        <f t="shared" si="1"/>
        <v>326.81743175367365</v>
      </c>
      <c r="F31" s="213">
        <f t="shared" si="2"/>
        <v>36887.957942351721</v>
      </c>
      <c r="G31" s="213"/>
    </row>
    <row r="32" spans="1:7" x14ac:dyDescent="0.25">
      <c r="A32" s="226">
        <f t="shared" si="4"/>
        <v>44621</v>
      </c>
      <c r="B32" s="213">
        <f t="shared" si="3"/>
        <v>36887.957942351721</v>
      </c>
      <c r="C32" s="214">
        <f>IF(ROUND(Tableau3626[[#This Row],[Solde début période]],2)&lt;=0,0,$D$2)</f>
        <v>466.37283940656886</v>
      </c>
      <c r="D32" s="214">
        <f t="shared" si="0"/>
        <v>138.32984228381895</v>
      </c>
      <c r="E32" s="214">
        <f t="shared" si="1"/>
        <v>328.04299712274991</v>
      </c>
      <c r="F32" s="213">
        <f t="shared" si="2"/>
        <v>36559.914945228971</v>
      </c>
      <c r="G32" s="213"/>
    </row>
    <row r="33" spans="1:7" x14ac:dyDescent="0.25">
      <c r="A33" s="226">
        <f t="shared" si="4"/>
        <v>44652</v>
      </c>
      <c r="B33" s="213">
        <f t="shared" si="3"/>
        <v>36559.914945228971</v>
      </c>
      <c r="C33" s="214">
        <f>IF(ROUND(Tableau3626[[#This Row],[Solde début période]],2)&lt;=0,0,$D$2)</f>
        <v>466.37283940656886</v>
      </c>
      <c r="D33" s="214">
        <f t="shared" si="0"/>
        <v>137.09968104460864</v>
      </c>
      <c r="E33" s="214">
        <f t="shared" si="1"/>
        <v>329.27315836196021</v>
      </c>
      <c r="F33" s="213">
        <f t="shared" si="2"/>
        <v>36230.641786867011</v>
      </c>
      <c r="G33" s="213"/>
    </row>
    <row r="34" spans="1:7" x14ac:dyDescent="0.25">
      <c r="A34" s="226">
        <f t="shared" si="4"/>
        <v>44682</v>
      </c>
      <c r="B34" s="213">
        <f t="shared" si="3"/>
        <v>36230.641786867011</v>
      </c>
      <c r="C34" s="214">
        <f>IF(ROUND(Tableau3626[[#This Row],[Solde début période]],2)&lt;=0,0,$D$2)</f>
        <v>466.37283940656886</v>
      </c>
      <c r="D34" s="214">
        <f t="shared" si="0"/>
        <v>135.86490670075128</v>
      </c>
      <c r="E34" s="214">
        <f t="shared" si="1"/>
        <v>330.50793270581755</v>
      </c>
      <c r="F34" s="213">
        <f t="shared" si="2"/>
        <v>35900.133854161191</v>
      </c>
      <c r="G34" s="213"/>
    </row>
    <row r="35" spans="1:7" x14ac:dyDescent="0.25">
      <c r="A35" s="226">
        <f t="shared" si="4"/>
        <v>44713</v>
      </c>
      <c r="B35" s="213">
        <f t="shared" si="3"/>
        <v>35900.133854161191</v>
      </c>
      <c r="C35" s="214">
        <f>IF(ROUND(Tableau3626[[#This Row],[Solde début période]],2)&lt;=0,0,$D$2)</f>
        <v>466.37283940656886</v>
      </c>
      <c r="D35" s="214">
        <f t="shared" si="0"/>
        <v>134.62550195310448</v>
      </c>
      <c r="E35" s="214">
        <f t="shared" si="1"/>
        <v>331.74733745346441</v>
      </c>
      <c r="F35" s="213">
        <f t="shared" si="2"/>
        <v>35568.386516707724</v>
      </c>
      <c r="G35" s="213"/>
    </row>
    <row r="36" spans="1:7" x14ac:dyDescent="0.25">
      <c r="A36" s="226">
        <f t="shared" si="4"/>
        <v>44743</v>
      </c>
      <c r="B36" s="213">
        <f t="shared" si="3"/>
        <v>35568.386516707724</v>
      </c>
      <c r="C36" s="214">
        <f>IF(ROUND(Tableau3626[[#This Row],[Solde début période]],2)&lt;=0,0,$D$2)</f>
        <v>466.37283940656886</v>
      </c>
      <c r="D36" s="214">
        <f t="shared" si="0"/>
        <v>133.38144943765397</v>
      </c>
      <c r="E36" s="214">
        <f t="shared" si="1"/>
        <v>332.99138996891486</v>
      </c>
      <c r="F36" s="213">
        <f t="shared" si="2"/>
        <v>35235.395126738811</v>
      </c>
      <c r="G36" s="213"/>
    </row>
    <row r="37" spans="1:7" x14ac:dyDescent="0.25">
      <c r="A37" s="226">
        <f t="shared" si="4"/>
        <v>44774</v>
      </c>
      <c r="B37" s="213">
        <f t="shared" si="3"/>
        <v>35235.395126738811</v>
      </c>
      <c r="C37" s="214">
        <f>IF(ROUND(Tableau3626[[#This Row],[Solde début période]],2)&lt;=0,0,$D$2)</f>
        <v>466.37283940656886</v>
      </c>
      <c r="D37" s="214">
        <f t="shared" si="0"/>
        <v>132.13273172527053</v>
      </c>
      <c r="E37" s="214">
        <f t="shared" si="1"/>
        <v>334.24010768129835</v>
      </c>
      <c r="F37" s="213">
        <f t="shared" si="2"/>
        <v>34901.155019057514</v>
      </c>
      <c r="G37" s="213"/>
    </row>
    <row r="38" spans="1:7" x14ac:dyDescent="0.25">
      <c r="A38" s="226">
        <f t="shared" si="4"/>
        <v>44805</v>
      </c>
      <c r="B38" s="213">
        <f t="shared" si="3"/>
        <v>34901.155019057514</v>
      </c>
      <c r="C38" s="214">
        <f>IF(ROUND(Tableau3626[[#This Row],[Solde début période]],2)&lt;=0,0,$D$2)</f>
        <v>466.37283940656886</v>
      </c>
      <c r="D38" s="214">
        <f t="shared" si="0"/>
        <v>130.87933132146568</v>
      </c>
      <c r="E38" s="214">
        <f t="shared" si="1"/>
        <v>335.49350808510314</v>
      </c>
      <c r="F38" s="213">
        <f t="shared" si="2"/>
        <v>34565.661510972408</v>
      </c>
      <c r="G38" s="213"/>
    </row>
    <row r="39" spans="1:7" x14ac:dyDescent="0.25">
      <c r="A39" s="226">
        <f t="shared" si="4"/>
        <v>44835</v>
      </c>
      <c r="B39" s="213">
        <f t="shared" si="3"/>
        <v>34565.661510972408</v>
      </c>
      <c r="C39" s="214">
        <f>IF(ROUND(Tableau3626[[#This Row],[Solde début période]],2)&lt;=0,0,$D$2)</f>
        <v>466.37283940656886</v>
      </c>
      <c r="D39" s="214">
        <f t="shared" si="0"/>
        <v>129.62123066614652</v>
      </c>
      <c r="E39" s="214">
        <f t="shared" si="1"/>
        <v>336.75160874042234</v>
      </c>
      <c r="F39" s="213">
        <f t="shared" si="2"/>
        <v>34228.909902231986</v>
      </c>
      <c r="G39" s="213"/>
    </row>
    <row r="40" spans="1:7" x14ac:dyDescent="0.25">
      <c r="A40" s="226">
        <f t="shared" si="4"/>
        <v>44866</v>
      </c>
      <c r="B40" s="213">
        <f t="shared" si="3"/>
        <v>34228.909902231986</v>
      </c>
      <c r="C40" s="214">
        <f>IF(ROUND(Tableau3626[[#This Row],[Solde début période]],2)&lt;=0,0,$D$2)</f>
        <v>466.37283940656886</v>
      </c>
      <c r="D40" s="214">
        <f t="shared" si="0"/>
        <v>128.35841213336994</v>
      </c>
      <c r="E40" s="214">
        <f t="shared" si="1"/>
        <v>338.01442727319892</v>
      </c>
      <c r="F40" s="213">
        <f t="shared" si="2"/>
        <v>33890.895474958787</v>
      </c>
      <c r="G40" s="213"/>
    </row>
    <row r="41" spans="1:7" x14ac:dyDescent="0.25">
      <c r="A41" s="226">
        <f t="shared" si="4"/>
        <v>44896</v>
      </c>
      <c r="B41" s="213">
        <f t="shared" si="3"/>
        <v>33890.895474958787</v>
      </c>
      <c r="C41" s="214">
        <f>IF(ROUND(Tableau3626[[#This Row],[Solde début période]],2)&lt;=0,0,$D$2)</f>
        <v>466.37283940656886</v>
      </c>
      <c r="D41" s="214">
        <f t="shared" si="0"/>
        <v>127.09085803109545</v>
      </c>
      <c r="E41" s="214">
        <f t="shared" si="1"/>
        <v>339.28198137547338</v>
      </c>
      <c r="F41" s="213">
        <f t="shared" si="2"/>
        <v>33551.613493583311</v>
      </c>
      <c r="G41" s="213"/>
    </row>
    <row r="42" spans="1:7" x14ac:dyDescent="0.25">
      <c r="A42" s="226">
        <f t="shared" si="4"/>
        <v>44927</v>
      </c>
      <c r="B42" s="213">
        <f t="shared" si="3"/>
        <v>33551.613493583311</v>
      </c>
      <c r="C42" s="214">
        <f>IF(ROUND(Tableau3626[[#This Row],[Solde début période]],2)&lt;=0,0,$D$2)</f>
        <v>466.37283940656886</v>
      </c>
      <c r="D42" s="214">
        <f t="shared" si="0"/>
        <v>125.81855060093741</v>
      </c>
      <c r="E42" s="214">
        <f t="shared" si="1"/>
        <v>340.55428880563147</v>
      </c>
      <c r="F42" s="213">
        <f t="shared" si="2"/>
        <v>33211.059204777681</v>
      </c>
      <c r="G42" s="213"/>
    </row>
    <row r="43" spans="1:7" x14ac:dyDescent="0.25">
      <c r="A43" s="226">
        <f t="shared" si="4"/>
        <v>44958</v>
      </c>
      <c r="B43" s="213">
        <f t="shared" si="3"/>
        <v>33211.059204777681</v>
      </c>
      <c r="C43" s="214">
        <f>IF(ROUND(Tableau3626[[#This Row],[Solde début période]],2)&lt;=0,0,$D$2)</f>
        <v>466.37283940656886</v>
      </c>
      <c r="D43" s="214">
        <f t="shared" si="0"/>
        <v>124.54147201791631</v>
      </c>
      <c r="E43" s="214">
        <f t="shared" si="1"/>
        <v>341.83136738865255</v>
      </c>
      <c r="F43" s="213">
        <f t="shared" si="2"/>
        <v>32869.227837389029</v>
      </c>
      <c r="G43" s="213"/>
    </row>
    <row r="44" spans="1:7" x14ac:dyDescent="0.25">
      <c r="A44" s="226">
        <f t="shared" si="4"/>
        <v>44986</v>
      </c>
      <c r="B44" s="213">
        <f t="shared" si="3"/>
        <v>32869.227837389029</v>
      </c>
      <c r="C44" s="214">
        <f>IF(ROUND(Tableau3626[[#This Row],[Solde début période]],2)&lt;=0,0,$D$2)</f>
        <v>466.37283940656886</v>
      </c>
      <c r="D44" s="214">
        <f t="shared" si="0"/>
        <v>123.25960439020885</v>
      </c>
      <c r="E44" s="214">
        <f t="shared" si="1"/>
        <v>343.11323501636002</v>
      </c>
      <c r="F44" s="213">
        <f t="shared" si="2"/>
        <v>32526.114602372669</v>
      </c>
      <c r="G44" s="213"/>
    </row>
    <row r="45" spans="1:7" x14ac:dyDescent="0.25">
      <c r="A45" s="226">
        <f t="shared" si="4"/>
        <v>45017</v>
      </c>
      <c r="B45" s="213">
        <f t="shared" si="3"/>
        <v>32526.114602372669</v>
      </c>
      <c r="C45" s="214">
        <f>IF(ROUND(Tableau3626[[#This Row],[Solde début période]],2)&lt;=0,0,$D$2)</f>
        <v>466.37283940656886</v>
      </c>
      <c r="D45" s="214">
        <f t="shared" si="0"/>
        <v>121.97292975889751</v>
      </c>
      <c r="E45" s="214">
        <f t="shared" si="1"/>
        <v>344.39990964767134</v>
      </c>
      <c r="F45" s="213">
        <f t="shared" si="2"/>
        <v>32181.714692724996</v>
      </c>
      <c r="G45" s="213"/>
    </row>
    <row r="46" spans="1:7" x14ac:dyDescent="0.25">
      <c r="A46" s="226">
        <f t="shared" si="4"/>
        <v>45047</v>
      </c>
      <c r="B46" s="213">
        <f t="shared" si="3"/>
        <v>32181.714692724996</v>
      </c>
      <c r="C46" s="214">
        <f>IF(ROUND(Tableau3626[[#This Row],[Solde début période]],2)&lt;=0,0,$D$2)</f>
        <v>466.37283940656886</v>
      </c>
      <c r="D46" s="214">
        <f t="shared" si="0"/>
        <v>120.68143009771873</v>
      </c>
      <c r="E46" s="214">
        <f t="shared" si="1"/>
        <v>345.6914093088501</v>
      </c>
      <c r="F46" s="213">
        <f t="shared" si="2"/>
        <v>31836.023283416147</v>
      </c>
      <c r="G46" s="213"/>
    </row>
    <row r="47" spans="1:7" x14ac:dyDescent="0.25">
      <c r="A47" s="226">
        <f t="shared" si="4"/>
        <v>45078</v>
      </c>
      <c r="B47" s="213">
        <f t="shared" si="3"/>
        <v>31836.023283416147</v>
      </c>
      <c r="C47" s="214">
        <f>IF(ROUND(Tableau3626[[#This Row],[Solde début période]],2)&lt;=0,0,$D$2)</f>
        <v>466.37283940656886</v>
      </c>
      <c r="D47" s="214">
        <f t="shared" si="0"/>
        <v>119.38508731281054</v>
      </c>
      <c r="E47" s="214">
        <f t="shared" si="1"/>
        <v>346.98775209375833</v>
      </c>
      <c r="F47" s="213">
        <f t="shared" si="2"/>
        <v>31489.035531322388</v>
      </c>
      <c r="G47" s="213"/>
    </row>
    <row r="48" spans="1:7" x14ac:dyDescent="0.25">
      <c r="A48" s="226">
        <f t="shared" si="4"/>
        <v>45108</v>
      </c>
      <c r="B48" s="213">
        <f t="shared" si="3"/>
        <v>31489.035531322388</v>
      </c>
      <c r="C48" s="214">
        <f>IF(ROUND(Tableau3626[[#This Row],[Solde début période]],2)&lt;=0,0,$D$2)</f>
        <v>466.37283940656886</v>
      </c>
      <c r="D48" s="214">
        <f t="shared" si="0"/>
        <v>118.08388324245895</v>
      </c>
      <c r="E48" s="214">
        <f t="shared" si="1"/>
        <v>348.28895616410989</v>
      </c>
      <c r="F48" s="213">
        <f t="shared" si="2"/>
        <v>31140.746575158279</v>
      </c>
      <c r="G48" s="213"/>
    </row>
    <row r="49" spans="1:7" x14ac:dyDescent="0.25">
      <c r="A49" s="226">
        <f t="shared" si="4"/>
        <v>45139</v>
      </c>
      <c r="B49" s="213">
        <f t="shared" si="3"/>
        <v>31140.746575158279</v>
      </c>
      <c r="C49" s="214">
        <f>IF(ROUND(Tableau3626[[#This Row],[Solde début période]],2)&lt;=0,0,$D$2)</f>
        <v>466.37283940656886</v>
      </c>
      <c r="D49" s="214">
        <f t="shared" si="0"/>
        <v>116.77779965684354</v>
      </c>
      <c r="E49" s="214">
        <f t="shared" si="1"/>
        <v>349.59503974972529</v>
      </c>
      <c r="F49" s="213">
        <f t="shared" si="2"/>
        <v>30791.151535408553</v>
      </c>
      <c r="G49" s="213"/>
    </row>
    <row r="50" spans="1:7" x14ac:dyDescent="0.25">
      <c r="A50" s="226">
        <f t="shared" si="4"/>
        <v>45170</v>
      </c>
      <c r="B50" s="213">
        <f t="shared" si="3"/>
        <v>30791.151535408553</v>
      </c>
      <c r="C50" s="214">
        <f>IF(ROUND(Tableau3626[[#This Row],[Solde début période]],2)&lt;=0,0,$D$2)</f>
        <v>466.37283940656886</v>
      </c>
      <c r="D50" s="214">
        <f t="shared" si="0"/>
        <v>115.46681825778207</v>
      </c>
      <c r="E50" s="214">
        <f t="shared" si="1"/>
        <v>350.90602114878681</v>
      </c>
      <c r="F50" s="213">
        <f t="shared" si="2"/>
        <v>30440.245514259765</v>
      </c>
      <c r="G50" s="213"/>
    </row>
    <row r="51" spans="1:7" x14ac:dyDescent="0.25">
      <c r="A51" s="226">
        <f t="shared" si="4"/>
        <v>45200</v>
      </c>
      <c r="B51" s="213">
        <f t="shared" si="3"/>
        <v>30440.245514259765</v>
      </c>
      <c r="C51" s="214">
        <f>IF(ROUND(Tableau3626[[#This Row],[Solde début période]],2)&lt;=0,0,$D$2)</f>
        <v>466.37283940656886</v>
      </c>
      <c r="D51" s="214">
        <f t="shared" si="0"/>
        <v>114.15092067847411</v>
      </c>
      <c r="E51" s="214">
        <f t="shared" si="1"/>
        <v>352.22191872809475</v>
      </c>
      <c r="F51" s="213">
        <f t="shared" si="2"/>
        <v>30088.023595531671</v>
      </c>
      <c r="G51" s="213"/>
    </row>
    <row r="52" spans="1:7" x14ac:dyDescent="0.25">
      <c r="A52" s="226">
        <f t="shared" si="4"/>
        <v>45231</v>
      </c>
      <c r="B52" s="213">
        <f t="shared" si="3"/>
        <v>30088.023595531671</v>
      </c>
      <c r="C52" s="214">
        <f>IF(ROUND(Tableau3626[[#This Row],[Solde début période]],2)&lt;=0,0,$D$2)</f>
        <v>466.37283940656886</v>
      </c>
      <c r="D52" s="214">
        <f t="shared" si="0"/>
        <v>112.83008848324376</v>
      </c>
      <c r="E52" s="214">
        <f t="shared" si="1"/>
        <v>353.54275092332512</v>
      </c>
      <c r="F52" s="213">
        <f t="shared" si="2"/>
        <v>29734.480844608344</v>
      </c>
      <c r="G52" s="213"/>
    </row>
    <row r="53" spans="1:7" x14ac:dyDescent="0.25">
      <c r="A53" s="226">
        <f t="shared" si="4"/>
        <v>45261</v>
      </c>
      <c r="B53" s="213">
        <f t="shared" si="3"/>
        <v>29734.480844608344</v>
      </c>
      <c r="C53" s="214">
        <f>IF(ROUND(Tableau3626[[#This Row],[Solde début période]],2)&lt;=0,0,$D$2)</f>
        <v>466.37283940656886</v>
      </c>
      <c r="D53" s="214">
        <f t="shared" si="0"/>
        <v>111.50430316728129</v>
      </c>
      <c r="E53" s="214">
        <f t="shared" si="1"/>
        <v>354.86853623928755</v>
      </c>
      <c r="F53" s="213">
        <f t="shared" si="2"/>
        <v>29379.612308369058</v>
      </c>
      <c r="G53" s="213"/>
    </row>
    <row r="54" spans="1:7" x14ac:dyDescent="0.25">
      <c r="A54" s="226">
        <f t="shared" si="4"/>
        <v>45292</v>
      </c>
      <c r="B54" s="213">
        <f t="shared" si="3"/>
        <v>29379.612308369058</v>
      </c>
      <c r="C54" s="214">
        <f>IF(ROUND(Tableau3626[[#This Row],[Solde début période]],2)&lt;=0,0,$D$2)</f>
        <v>466.37283940656886</v>
      </c>
      <c r="D54" s="214">
        <f t="shared" si="0"/>
        <v>110.17354615638396</v>
      </c>
      <c r="E54" s="214">
        <f t="shared" si="1"/>
        <v>356.19929325018489</v>
      </c>
      <c r="F54" s="213">
        <f t="shared" si="2"/>
        <v>29023.413015118873</v>
      </c>
      <c r="G54" s="213"/>
    </row>
    <row r="55" spans="1:7" x14ac:dyDescent="0.25">
      <c r="A55" s="226">
        <f t="shared" si="4"/>
        <v>45323</v>
      </c>
      <c r="B55" s="213">
        <f t="shared" si="3"/>
        <v>29023.413015118873</v>
      </c>
      <c r="C55" s="214">
        <f>IF(ROUND(Tableau3626[[#This Row],[Solde début période]],2)&lt;=0,0,$D$2)</f>
        <v>466.37283940656886</v>
      </c>
      <c r="D55" s="214">
        <f t="shared" si="0"/>
        <v>108.83779880669577</v>
      </c>
      <c r="E55" s="214">
        <f t="shared" si="1"/>
        <v>357.53504059987307</v>
      </c>
      <c r="F55" s="213">
        <f t="shared" si="2"/>
        <v>28665.877974519</v>
      </c>
      <c r="G55" s="213"/>
    </row>
    <row r="56" spans="1:7" x14ac:dyDescent="0.25">
      <c r="A56" s="226">
        <f t="shared" si="4"/>
        <v>45352</v>
      </c>
      <c r="B56" s="213">
        <f t="shared" si="3"/>
        <v>28665.877974519</v>
      </c>
      <c r="C56" s="214">
        <f>IF(ROUND(Tableau3626[[#This Row],[Solde début période]],2)&lt;=0,0,$D$2)</f>
        <v>466.37283940656886</v>
      </c>
      <c r="D56" s="214">
        <f t="shared" si="0"/>
        <v>107.49704240444625</v>
      </c>
      <c r="E56" s="214">
        <f t="shared" si="1"/>
        <v>358.87579700212262</v>
      </c>
      <c r="F56" s="213">
        <f t="shared" si="2"/>
        <v>28307.002177516879</v>
      </c>
      <c r="G56" s="213"/>
    </row>
    <row r="57" spans="1:7" x14ac:dyDescent="0.25">
      <c r="A57" s="226">
        <f t="shared" si="4"/>
        <v>45383</v>
      </c>
      <c r="B57" s="213">
        <f t="shared" si="3"/>
        <v>28307.002177516879</v>
      </c>
      <c r="C57" s="214">
        <f>IF(ROUND(Tableau3626[[#This Row],[Solde début période]],2)&lt;=0,0,$D$2)</f>
        <v>466.37283940656886</v>
      </c>
      <c r="D57" s="214">
        <f t="shared" si="0"/>
        <v>106.15125816568829</v>
      </c>
      <c r="E57" s="214">
        <f t="shared" si="1"/>
        <v>360.2215812408806</v>
      </c>
      <c r="F57" s="213">
        <f t="shared" si="2"/>
        <v>27946.780596275999</v>
      </c>
      <c r="G57" s="213"/>
    </row>
    <row r="58" spans="1:7" x14ac:dyDescent="0.25">
      <c r="A58" s="226">
        <f t="shared" si="4"/>
        <v>45413</v>
      </c>
      <c r="B58" s="213">
        <f t="shared" si="3"/>
        <v>27946.780596275999</v>
      </c>
      <c r="C58" s="214">
        <f>IF(ROUND(Tableau3626[[#This Row],[Solde début période]],2)&lt;=0,0,$D$2)</f>
        <v>466.37283940656886</v>
      </c>
      <c r="D58" s="214">
        <f t="shared" si="0"/>
        <v>104.80042723603499</v>
      </c>
      <c r="E58" s="214">
        <f t="shared" si="1"/>
        <v>361.57241217053388</v>
      </c>
      <c r="F58" s="213">
        <f t="shared" si="2"/>
        <v>27585.208184105464</v>
      </c>
      <c r="G58" s="213"/>
    </row>
    <row r="59" spans="1:7" x14ac:dyDescent="0.25">
      <c r="A59" s="226">
        <f t="shared" si="4"/>
        <v>45444</v>
      </c>
      <c r="B59" s="213">
        <f t="shared" si="3"/>
        <v>27585.208184105464</v>
      </c>
      <c r="C59" s="214">
        <f>IF(ROUND(Tableau3626[[#This Row],[Solde début période]],2)&lt;=0,0,$D$2)</f>
        <v>466.37283940656886</v>
      </c>
      <c r="D59" s="214">
        <f t="shared" si="0"/>
        <v>103.44453069039548</v>
      </c>
      <c r="E59" s="214">
        <f t="shared" si="1"/>
        <v>362.92830871617338</v>
      </c>
      <c r="F59" s="213">
        <f t="shared" si="2"/>
        <v>27222.279875389289</v>
      </c>
      <c r="G59" s="213"/>
    </row>
    <row r="60" spans="1:7" x14ac:dyDescent="0.25">
      <c r="A60" s="226">
        <f t="shared" si="4"/>
        <v>45474</v>
      </c>
      <c r="B60" s="213">
        <f t="shared" si="3"/>
        <v>27222.279875389289</v>
      </c>
      <c r="C60" s="214">
        <f>IF(ROUND(Tableau3626[[#This Row],[Solde début période]],2)&lt;=0,0,$D$2)</f>
        <v>466.37283940656886</v>
      </c>
      <c r="D60" s="214">
        <f t="shared" si="0"/>
        <v>102.08354953270982</v>
      </c>
      <c r="E60" s="214">
        <f t="shared" si="1"/>
        <v>364.28928987385905</v>
      </c>
      <c r="F60" s="213">
        <f t="shared" si="2"/>
        <v>26857.990585515432</v>
      </c>
      <c r="G60" s="213"/>
    </row>
    <row r="61" spans="1:7" x14ac:dyDescent="0.25">
      <c r="A61" s="226">
        <f t="shared" si="4"/>
        <v>45505</v>
      </c>
      <c r="B61" s="213">
        <f t="shared" si="3"/>
        <v>26857.990585515432</v>
      </c>
      <c r="C61" s="214">
        <f>IF(ROUND(Tableau3626[[#This Row],[Solde début période]],2)&lt;=0,0,$D$2)</f>
        <v>466.37283940656886</v>
      </c>
      <c r="D61" s="214">
        <f t="shared" si="0"/>
        <v>100.71746469568286</v>
      </c>
      <c r="E61" s="214">
        <f t="shared" si="1"/>
        <v>365.65537471088601</v>
      </c>
      <c r="F61" s="213">
        <f t="shared" si="2"/>
        <v>26492.335210804547</v>
      </c>
      <c r="G61" s="213"/>
    </row>
    <row r="62" spans="1:7" x14ac:dyDescent="0.25">
      <c r="A62" s="226">
        <f t="shared" si="4"/>
        <v>45536</v>
      </c>
      <c r="B62" s="213">
        <f t="shared" si="3"/>
        <v>26492.335210804547</v>
      </c>
      <c r="C62" s="214">
        <f>IF(ROUND(Tableau3626[[#This Row],[Solde début période]],2)&lt;=0,0,$D$2)</f>
        <v>466.37283940656886</v>
      </c>
      <c r="D62" s="214">
        <f t="shared" si="0"/>
        <v>99.346257040517045</v>
      </c>
      <c r="E62" s="214">
        <f t="shared" si="1"/>
        <v>367.0265823660518</v>
      </c>
      <c r="F62" s="213">
        <f t="shared" si="2"/>
        <v>26125.308628438495</v>
      </c>
      <c r="G62" s="213"/>
    </row>
    <row r="63" spans="1:7" x14ac:dyDescent="0.25">
      <c r="A63" s="226">
        <f t="shared" si="4"/>
        <v>45566</v>
      </c>
      <c r="B63" s="213">
        <f t="shared" si="3"/>
        <v>26125.308628438495</v>
      </c>
      <c r="C63" s="214">
        <f>IF(ROUND(Tableau3626[[#This Row],[Solde début période]],2)&lt;=0,0,$D$2)</f>
        <v>466.37283940656886</v>
      </c>
      <c r="D63" s="214">
        <f t="shared" si="0"/>
        <v>97.969907356644356</v>
      </c>
      <c r="E63" s="214">
        <f t="shared" si="1"/>
        <v>368.40293204992452</v>
      </c>
      <c r="F63" s="213">
        <f t="shared" si="2"/>
        <v>25756.905696388571</v>
      </c>
      <c r="G63" s="213"/>
    </row>
    <row r="64" spans="1:7" x14ac:dyDescent="0.25">
      <c r="A64" s="226">
        <f t="shared" si="4"/>
        <v>45597</v>
      </c>
      <c r="B64" s="213">
        <f t="shared" si="3"/>
        <v>25756.905696388571</v>
      </c>
      <c r="C64" s="214">
        <f>IF(ROUND(Tableau3626[[#This Row],[Solde début période]],2)&lt;=0,0,$D$2)</f>
        <v>466.37283940656886</v>
      </c>
      <c r="D64" s="214">
        <f t="shared" si="0"/>
        <v>96.588396361457143</v>
      </c>
      <c r="E64" s="214">
        <f t="shared" si="1"/>
        <v>369.78444304511174</v>
      </c>
      <c r="F64" s="213">
        <f t="shared" si="2"/>
        <v>25387.121253343459</v>
      </c>
      <c r="G64" s="213"/>
    </row>
    <row r="65" spans="1:7" x14ac:dyDescent="0.25">
      <c r="A65" s="226">
        <f t="shared" si="4"/>
        <v>45627</v>
      </c>
      <c r="B65" s="213">
        <f t="shared" si="3"/>
        <v>25387.121253343459</v>
      </c>
      <c r="C65" s="214">
        <f>IF(ROUND(Tableau3626[[#This Row],[Solde début période]],2)&lt;=0,0,$D$2)</f>
        <v>466.37283940656886</v>
      </c>
      <c r="D65" s="214">
        <f t="shared" si="0"/>
        <v>95.201704700037965</v>
      </c>
      <c r="E65" s="214">
        <f t="shared" si="1"/>
        <v>371.17113470653089</v>
      </c>
      <c r="F65" s="213">
        <f t="shared" si="2"/>
        <v>25015.950118636927</v>
      </c>
      <c r="G65" s="213"/>
    </row>
    <row r="66" spans="1:7" x14ac:dyDescent="0.25">
      <c r="A66" s="226">
        <f t="shared" si="4"/>
        <v>45658</v>
      </c>
      <c r="B66" s="213">
        <f t="shared" si="3"/>
        <v>25015.950118636927</v>
      </c>
      <c r="C66" s="214">
        <f>IF(ROUND(Tableau3626[[#This Row],[Solde début période]],2)&lt;=0,0,$D$2)</f>
        <v>466.37283940656886</v>
      </c>
      <c r="D66" s="214">
        <f t="shared" si="0"/>
        <v>93.809812944888478</v>
      </c>
      <c r="E66" s="214">
        <f t="shared" si="1"/>
        <v>372.56302646168035</v>
      </c>
      <c r="F66" s="213">
        <f t="shared" si="2"/>
        <v>24643.387092175246</v>
      </c>
      <c r="G66" s="213"/>
    </row>
    <row r="67" spans="1:7" x14ac:dyDescent="0.25">
      <c r="A67" s="226">
        <f t="shared" si="4"/>
        <v>45689</v>
      </c>
      <c r="B67" s="213">
        <f t="shared" si="3"/>
        <v>24643.387092175246</v>
      </c>
      <c r="C67" s="214">
        <f>IF(ROUND(Tableau3626[[#This Row],[Solde début période]],2)&lt;=0,0,$D$2)</f>
        <v>466.37283940656886</v>
      </c>
      <c r="D67" s="214">
        <f t="shared" si="0"/>
        <v>92.412701595657168</v>
      </c>
      <c r="E67" s="214">
        <f t="shared" si="1"/>
        <v>373.9601378109117</v>
      </c>
      <c r="F67" s="213">
        <f t="shared" si="2"/>
        <v>24269.426954364335</v>
      </c>
      <c r="G67" s="213"/>
    </row>
    <row r="68" spans="1:7" x14ac:dyDescent="0.25">
      <c r="A68" s="226">
        <f t="shared" si="4"/>
        <v>45717</v>
      </c>
      <c r="B68" s="213">
        <f t="shared" si="3"/>
        <v>24269.426954364335</v>
      </c>
      <c r="C68" s="214">
        <f>IF(ROUND(Tableau3626[[#This Row],[Solde début période]],2)&lt;=0,0,$D$2)</f>
        <v>466.37283940656886</v>
      </c>
      <c r="D68" s="214">
        <f t="shared" si="0"/>
        <v>91.01035107886625</v>
      </c>
      <c r="E68" s="214">
        <f t="shared" si="1"/>
        <v>375.36248832770264</v>
      </c>
      <c r="F68" s="213">
        <f t="shared" si="2"/>
        <v>23894.064466036631</v>
      </c>
      <c r="G68" s="213"/>
    </row>
    <row r="69" spans="1:7" x14ac:dyDescent="0.25">
      <c r="A69" s="226">
        <f t="shared" si="4"/>
        <v>45748</v>
      </c>
      <c r="B69" s="213">
        <f t="shared" si="3"/>
        <v>23894.064466036631</v>
      </c>
      <c r="C69" s="214">
        <f>IF(ROUND(Tableau3626[[#This Row],[Solde début période]],2)&lt;=0,0,$D$2)</f>
        <v>466.37283940656886</v>
      </c>
      <c r="D69" s="214">
        <f t="shared" si="0"/>
        <v>89.602741747637367</v>
      </c>
      <c r="E69" s="214">
        <f t="shared" si="1"/>
        <v>376.77009765893149</v>
      </c>
      <c r="F69" s="213">
        <f t="shared" si="2"/>
        <v>23517.294368377698</v>
      </c>
      <c r="G69" s="213"/>
    </row>
    <row r="70" spans="1:7" x14ac:dyDescent="0.25">
      <c r="A70" s="226">
        <f t="shared" si="4"/>
        <v>45778</v>
      </c>
      <c r="B70" s="213">
        <f t="shared" si="3"/>
        <v>23517.294368377698</v>
      </c>
      <c r="C70" s="214">
        <f>IF(ROUND(Tableau3626[[#This Row],[Solde début période]],2)&lt;=0,0,$D$2)</f>
        <v>466.37283940656886</v>
      </c>
      <c r="D70" s="214">
        <f t="shared" ref="D70:D133" si="5">B70*($B$2/12)</f>
        <v>88.189853881416369</v>
      </c>
      <c r="E70" s="214">
        <f t="shared" ref="E70:E133" si="6">C70-D70</f>
        <v>378.1829855251525</v>
      </c>
      <c r="F70" s="213">
        <f t="shared" ref="F70:F133" si="7">B70-E70</f>
        <v>23139.111382852545</v>
      </c>
      <c r="G70" s="213"/>
    </row>
    <row r="71" spans="1:7" x14ac:dyDescent="0.25">
      <c r="A71" s="226">
        <f t="shared" si="4"/>
        <v>45809</v>
      </c>
      <c r="B71" s="213">
        <f t="shared" ref="B71:B134" si="8">F70</f>
        <v>23139.111382852545</v>
      </c>
      <c r="C71" s="214">
        <f>IF(ROUND(Tableau3626[[#This Row],[Solde début période]],2)&lt;=0,0,$D$2)</f>
        <v>466.37283940656886</v>
      </c>
      <c r="D71" s="214">
        <f t="shared" si="5"/>
        <v>86.771667685697039</v>
      </c>
      <c r="E71" s="214">
        <f t="shared" si="6"/>
        <v>379.60117172087183</v>
      </c>
      <c r="F71" s="213">
        <f t="shared" si="7"/>
        <v>22759.510211131674</v>
      </c>
      <c r="G71" s="213"/>
    </row>
    <row r="72" spans="1:7" x14ac:dyDescent="0.25">
      <c r="A72" s="226">
        <f t="shared" ref="A72:A135" si="9">EDATE(A71,1)</f>
        <v>45839</v>
      </c>
      <c r="B72" s="213">
        <f t="shared" si="8"/>
        <v>22759.510211131674</v>
      </c>
      <c r="C72" s="214">
        <f>IF(ROUND(Tableau3626[[#This Row],[Solde début période]],2)&lt;=0,0,$D$2)</f>
        <v>466.37283940656886</v>
      </c>
      <c r="D72" s="214">
        <f t="shared" si="5"/>
        <v>85.348163291743774</v>
      </c>
      <c r="E72" s="214">
        <f t="shared" si="6"/>
        <v>381.02467611482507</v>
      </c>
      <c r="F72" s="213">
        <f t="shared" si="7"/>
        <v>22378.485535016847</v>
      </c>
      <c r="G72" s="213"/>
    </row>
    <row r="73" spans="1:7" x14ac:dyDescent="0.25">
      <c r="A73" s="226">
        <f t="shared" si="9"/>
        <v>45870</v>
      </c>
      <c r="B73" s="213">
        <f t="shared" si="8"/>
        <v>22378.485535016847</v>
      </c>
      <c r="C73" s="214">
        <f>IF(ROUND(Tableau3626[[#This Row],[Solde début période]],2)&lt;=0,0,$D$2)</f>
        <v>466.37283940656886</v>
      </c>
      <c r="D73" s="214">
        <f t="shared" si="5"/>
        <v>83.919320756313169</v>
      </c>
      <c r="E73" s="214">
        <f t="shared" si="6"/>
        <v>382.45351865025566</v>
      </c>
      <c r="F73" s="213">
        <f t="shared" si="7"/>
        <v>21996.032016366593</v>
      </c>
      <c r="G73" s="213"/>
    </row>
    <row r="74" spans="1:7" x14ac:dyDescent="0.25">
      <c r="A74" s="226">
        <f t="shared" si="9"/>
        <v>45901</v>
      </c>
      <c r="B74" s="213">
        <f t="shared" si="8"/>
        <v>21996.032016366593</v>
      </c>
      <c r="C74" s="214">
        <f>IF(ROUND(Tableau3626[[#This Row],[Solde début période]],2)&lt;=0,0,$D$2)</f>
        <v>466.37283940656886</v>
      </c>
      <c r="D74" s="214">
        <f t="shared" si="5"/>
        <v>82.485120061374715</v>
      </c>
      <c r="E74" s="214">
        <f t="shared" si="6"/>
        <v>383.88771934519411</v>
      </c>
      <c r="F74" s="213">
        <f t="shared" si="7"/>
        <v>21612.144297021398</v>
      </c>
      <c r="G74" s="213"/>
    </row>
    <row r="75" spans="1:7" x14ac:dyDescent="0.25">
      <c r="A75" s="226">
        <f t="shared" si="9"/>
        <v>45931</v>
      </c>
      <c r="B75" s="213">
        <f t="shared" si="8"/>
        <v>21612.144297021398</v>
      </c>
      <c r="C75" s="214">
        <f>IF(ROUND(Tableau3626[[#This Row],[Solde début période]],2)&lt;=0,0,$D$2)</f>
        <v>466.37283940656886</v>
      </c>
      <c r="D75" s="214">
        <f t="shared" si="5"/>
        <v>81.04554111383024</v>
      </c>
      <c r="E75" s="214">
        <f t="shared" si="6"/>
        <v>385.32729829273865</v>
      </c>
      <c r="F75" s="213">
        <f t="shared" si="7"/>
        <v>21226.81699872866</v>
      </c>
      <c r="G75" s="213"/>
    </row>
    <row r="76" spans="1:7" x14ac:dyDescent="0.25">
      <c r="A76" s="226">
        <f t="shared" si="9"/>
        <v>45962</v>
      </c>
      <c r="B76" s="213">
        <f t="shared" si="8"/>
        <v>21226.81699872866</v>
      </c>
      <c r="C76" s="214">
        <f>IF(ROUND(Tableau3626[[#This Row],[Solde début période]],2)&lt;=0,0,$D$2)</f>
        <v>466.37283940656886</v>
      </c>
      <c r="D76" s="214">
        <f t="shared" si="5"/>
        <v>79.600563745232478</v>
      </c>
      <c r="E76" s="214">
        <f t="shared" si="6"/>
        <v>386.77227566133638</v>
      </c>
      <c r="F76" s="213">
        <f t="shared" si="7"/>
        <v>20840.044723067324</v>
      </c>
      <c r="G76" s="213"/>
    </row>
    <row r="77" spans="1:7" x14ac:dyDescent="0.25">
      <c r="A77" s="226">
        <f t="shared" si="9"/>
        <v>45992</v>
      </c>
      <c r="B77" s="213">
        <f t="shared" si="8"/>
        <v>20840.044723067324</v>
      </c>
      <c r="C77" s="214">
        <f>IF(ROUND(Tableau3626[[#This Row],[Solde début période]],2)&lt;=0,0,$D$2)</f>
        <v>466.37283940656886</v>
      </c>
      <c r="D77" s="214">
        <f t="shared" si="5"/>
        <v>78.150167711502462</v>
      </c>
      <c r="E77" s="214">
        <f t="shared" si="6"/>
        <v>388.22267169506642</v>
      </c>
      <c r="F77" s="213">
        <f t="shared" si="7"/>
        <v>20451.822051372255</v>
      </c>
      <c r="G77" s="213"/>
    </row>
    <row r="78" spans="1:7" x14ac:dyDescent="0.25">
      <c r="A78" s="226">
        <f t="shared" si="9"/>
        <v>46023</v>
      </c>
      <c r="B78" s="213">
        <f t="shared" si="8"/>
        <v>20451.822051372255</v>
      </c>
      <c r="C78" s="214">
        <f>IF(ROUND(Tableau3626[[#This Row],[Solde début période]],2)&lt;=0,0,$D$2)</f>
        <v>466.37283940656886</v>
      </c>
      <c r="D78" s="214">
        <f t="shared" si="5"/>
        <v>76.694332692645958</v>
      </c>
      <c r="E78" s="214">
        <f t="shared" si="6"/>
        <v>389.6785067139229</v>
      </c>
      <c r="F78" s="213">
        <f t="shared" si="7"/>
        <v>20062.143544658331</v>
      </c>
      <c r="G78" s="213"/>
    </row>
    <row r="79" spans="1:7" x14ac:dyDescent="0.25">
      <c r="A79" s="226">
        <f t="shared" si="9"/>
        <v>46054</v>
      </c>
      <c r="B79" s="213">
        <f t="shared" si="8"/>
        <v>20062.143544658331</v>
      </c>
      <c r="C79" s="214">
        <f>IF(ROUND(Tableau3626[[#This Row],[Solde début période]],2)&lt;=0,0,$D$2)</f>
        <v>466.37283940656886</v>
      </c>
      <c r="D79" s="214">
        <f t="shared" si="5"/>
        <v>75.233038292468734</v>
      </c>
      <c r="E79" s="214">
        <f t="shared" si="6"/>
        <v>391.13980111410012</v>
      </c>
      <c r="F79" s="213">
        <f t="shared" si="7"/>
        <v>19671.003743544232</v>
      </c>
      <c r="G79" s="213"/>
    </row>
    <row r="80" spans="1:7" x14ac:dyDescent="0.25">
      <c r="A80" s="226">
        <f t="shared" si="9"/>
        <v>46082</v>
      </c>
      <c r="B80" s="213">
        <f t="shared" si="8"/>
        <v>19671.003743544232</v>
      </c>
      <c r="C80" s="214">
        <f>IF(ROUND(Tableau3626[[#This Row],[Solde début période]],2)&lt;=0,0,$D$2)</f>
        <v>466.37283940656886</v>
      </c>
      <c r="D80" s="214">
        <f t="shared" si="5"/>
        <v>73.766264038290871</v>
      </c>
      <c r="E80" s="214">
        <f t="shared" si="6"/>
        <v>392.60657536827796</v>
      </c>
      <c r="F80" s="213">
        <f t="shared" si="7"/>
        <v>19278.397168175954</v>
      </c>
      <c r="G80" s="213"/>
    </row>
    <row r="81" spans="1:7" x14ac:dyDescent="0.25">
      <c r="A81" s="226">
        <f t="shared" si="9"/>
        <v>46113</v>
      </c>
      <c r="B81" s="213">
        <f t="shared" si="8"/>
        <v>19278.397168175954</v>
      </c>
      <c r="C81" s="214">
        <f>IF(ROUND(Tableau3626[[#This Row],[Solde début période]],2)&lt;=0,0,$D$2)</f>
        <v>466.37283940656886</v>
      </c>
      <c r="D81" s="214">
        <f t="shared" si="5"/>
        <v>72.293989380659823</v>
      </c>
      <c r="E81" s="214">
        <f t="shared" si="6"/>
        <v>394.07885002590905</v>
      </c>
      <c r="F81" s="213">
        <f t="shared" si="7"/>
        <v>18884.318318150046</v>
      </c>
      <c r="G81" s="213"/>
    </row>
    <row r="82" spans="1:7" x14ac:dyDescent="0.25">
      <c r="A82" s="226">
        <f t="shared" si="9"/>
        <v>46143</v>
      </c>
      <c r="B82" s="213">
        <f t="shared" si="8"/>
        <v>18884.318318150046</v>
      </c>
      <c r="C82" s="214">
        <f>IF(ROUND(Tableau3626[[#This Row],[Solde début période]],2)&lt;=0,0,$D$2)</f>
        <v>466.37283940656886</v>
      </c>
      <c r="D82" s="214">
        <f t="shared" si="5"/>
        <v>70.816193693062672</v>
      </c>
      <c r="E82" s="214">
        <f t="shared" si="6"/>
        <v>395.55664571350621</v>
      </c>
      <c r="F82" s="213">
        <f t="shared" si="7"/>
        <v>18488.76167243654</v>
      </c>
      <c r="G82" s="213"/>
    </row>
    <row r="83" spans="1:7" x14ac:dyDescent="0.25">
      <c r="A83" s="226">
        <f t="shared" si="9"/>
        <v>46174</v>
      </c>
      <c r="B83" s="213">
        <f t="shared" si="8"/>
        <v>18488.76167243654</v>
      </c>
      <c r="C83" s="214">
        <f>IF(ROUND(Tableau3626[[#This Row],[Solde début période]],2)&lt;=0,0,$D$2)</f>
        <v>466.37283940656886</v>
      </c>
      <c r="D83" s="214">
        <f t="shared" si="5"/>
        <v>69.332856271637027</v>
      </c>
      <c r="E83" s="214">
        <f t="shared" si="6"/>
        <v>397.03998313493184</v>
      </c>
      <c r="F83" s="213">
        <f t="shared" si="7"/>
        <v>18091.721689301608</v>
      </c>
      <c r="G83" s="213"/>
    </row>
    <row r="84" spans="1:7" x14ac:dyDescent="0.25">
      <c r="A84" s="226">
        <f t="shared" si="9"/>
        <v>46204</v>
      </c>
      <c r="B84" s="213">
        <f t="shared" si="8"/>
        <v>18091.721689301608</v>
      </c>
      <c r="C84" s="214">
        <f>IF(ROUND(Tableau3626[[#This Row],[Solde début période]],2)&lt;=0,0,$D$2)</f>
        <v>466.37283940656886</v>
      </c>
      <c r="D84" s="214">
        <f t="shared" si="5"/>
        <v>67.843956334881028</v>
      </c>
      <c r="E84" s="214">
        <f t="shared" si="6"/>
        <v>398.5288830716878</v>
      </c>
      <c r="F84" s="213">
        <f t="shared" si="7"/>
        <v>17693.192806229919</v>
      </c>
      <c r="G84" s="213"/>
    </row>
    <row r="85" spans="1:7" x14ac:dyDescent="0.25">
      <c r="A85" s="226">
        <f t="shared" si="9"/>
        <v>46235</v>
      </c>
      <c r="B85" s="213">
        <f t="shared" si="8"/>
        <v>17693.192806229919</v>
      </c>
      <c r="C85" s="214">
        <f>IF(ROUND(Tableau3626[[#This Row],[Solde début période]],2)&lt;=0,0,$D$2)</f>
        <v>466.37283940656886</v>
      </c>
      <c r="D85" s="214">
        <f t="shared" si="5"/>
        <v>66.349473023362194</v>
      </c>
      <c r="E85" s="214">
        <f t="shared" si="6"/>
        <v>400.02336638320668</v>
      </c>
      <c r="F85" s="213">
        <f t="shared" si="7"/>
        <v>17293.169439846712</v>
      </c>
      <c r="G85" s="213"/>
    </row>
    <row r="86" spans="1:7" x14ac:dyDescent="0.25">
      <c r="A86" s="226">
        <f t="shared" si="9"/>
        <v>46266</v>
      </c>
      <c r="B86" s="213">
        <f t="shared" si="8"/>
        <v>17293.169439846712</v>
      </c>
      <c r="C86" s="214">
        <f>IF(ROUND(Tableau3626[[#This Row],[Solde début période]],2)&lt;=0,0,$D$2)</f>
        <v>466.37283940656886</v>
      </c>
      <c r="D86" s="214">
        <f t="shared" si="5"/>
        <v>64.849385399425159</v>
      </c>
      <c r="E86" s="214">
        <f t="shared" si="6"/>
        <v>401.5234540071437</v>
      </c>
      <c r="F86" s="213">
        <f t="shared" si="7"/>
        <v>16891.645985839568</v>
      </c>
      <c r="G86" s="213"/>
    </row>
    <row r="87" spans="1:7" x14ac:dyDescent="0.25">
      <c r="A87" s="226">
        <f t="shared" si="9"/>
        <v>46296</v>
      </c>
      <c r="B87" s="213">
        <f t="shared" si="8"/>
        <v>16891.645985839568</v>
      </c>
      <c r="C87" s="214">
        <f>IF(ROUND(Tableau3626[[#This Row],[Solde début période]],2)&lt;=0,0,$D$2)</f>
        <v>466.37283940656886</v>
      </c>
      <c r="D87" s="214">
        <f t="shared" si="5"/>
        <v>63.343672446898381</v>
      </c>
      <c r="E87" s="214">
        <f t="shared" si="6"/>
        <v>403.02916695967048</v>
      </c>
      <c r="F87" s="213">
        <f t="shared" si="7"/>
        <v>16488.616818879898</v>
      </c>
      <c r="G87" s="213"/>
    </row>
    <row r="88" spans="1:7" x14ac:dyDescent="0.25">
      <c r="A88" s="226">
        <f t="shared" si="9"/>
        <v>46327</v>
      </c>
      <c r="B88" s="213">
        <f t="shared" si="8"/>
        <v>16488.616818879898</v>
      </c>
      <c r="C88" s="214">
        <f>IF(ROUND(Tableau3626[[#This Row],[Solde début période]],2)&lt;=0,0,$D$2)</f>
        <v>466.37283940656886</v>
      </c>
      <c r="D88" s="214">
        <f t="shared" si="5"/>
        <v>61.832313070799614</v>
      </c>
      <c r="E88" s="214">
        <f t="shared" si="6"/>
        <v>404.54052633576924</v>
      </c>
      <c r="F88" s="213">
        <f t="shared" si="7"/>
        <v>16084.076292544129</v>
      </c>
      <c r="G88" s="213"/>
    </row>
    <row r="89" spans="1:7" x14ac:dyDescent="0.25">
      <c r="A89" s="226">
        <f t="shared" si="9"/>
        <v>46357</v>
      </c>
      <c r="B89" s="213">
        <f t="shared" si="8"/>
        <v>16084.076292544129</v>
      </c>
      <c r="C89" s="214">
        <f>IF(ROUND(Tableau3626[[#This Row],[Solde début période]],2)&lt;=0,0,$D$2)</f>
        <v>466.37283940656886</v>
      </c>
      <c r="D89" s="214">
        <f t="shared" si="5"/>
        <v>60.315286097040477</v>
      </c>
      <c r="E89" s="214">
        <f t="shared" si="6"/>
        <v>406.05755330952837</v>
      </c>
      <c r="F89" s="213">
        <f t="shared" si="7"/>
        <v>15678.0187392346</v>
      </c>
      <c r="G89" s="213"/>
    </row>
    <row r="90" spans="1:7" x14ac:dyDescent="0.25">
      <c r="A90" s="226">
        <f t="shared" si="9"/>
        <v>46388</v>
      </c>
      <c r="B90" s="213">
        <f t="shared" si="8"/>
        <v>15678.0187392346</v>
      </c>
      <c r="C90" s="214">
        <f>IF(ROUND(Tableau3626[[#This Row],[Solde début période]],2)&lt;=0,0,$D$2)</f>
        <v>466.37283940656886</v>
      </c>
      <c r="D90" s="214">
        <f t="shared" si="5"/>
        <v>58.792570272129744</v>
      </c>
      <c r="E90" s="214">
        <f t="shared" si="6"/>
        <v>407.58026913443911</v>
      </c>
      <c r="F90" s="213">
        <f t="shared" si="7"/>
        <v>15270.43847010016</v>
      </c>
      <c r="G90" s="213"/>
    </row>
    <row r="91" spans="1:7" x14ac:dyDescent="0.25">
      <c r="A91" s="226">
        <f t="shared" si="9"/>
        <v>46419</v>
      </c>
      <c r="B91" s="213">
        <f t="shared" si="8"/>
        <v>15270.43847010016</v>
      </c>
      <c r="C91" s="214">
        <f>IF(ROUND(Tableau3626[[#This Row],[Solde début période]],2)&lt;=0,0,$D$2)</f>
        <v>466.37283940656886</v>
      </c>
      <c r="D91" s="214">
        <f t="shared" si="5"/>
        <v>57.264144262875597</v>
      </c>
      <c r="E91" s="214">
        <f t="shared" si="6"/>
        <v>409.10869514369324</v>
      </c>
      <c r="F91" s="213">
        <f t="shared" si="7"/>
        <v>14861.329774956466</v>
      </c>
      <c r="G91" s="213"/>
    </row>
    <row r="92" spans="1:7" x14ac:dyDescent="0.25">
      <c r="A92" s="226">
        <f t="shared" si="9"/>
        <v>46447</v>
      </c>
      <c r="B92" s="213">
        <f t="shared" si="8"/>
        <v>14861.329774956466</v>
      </c>
      <c r="C92" s="214">
        <f>IF(ROUND(Tableau3626[[#This Row],[Solde début période]],2)&lt;=0,0,$D$2)</f>
        <v>466.37283940656886</v>
      </c>
      <c r="D92" s="214">
        <f t="shared" si="5"/>
        <v>55.729986656086744</v>
      </c>
      <c r="E92" s="214">
        <f t="shared" si="6"/>
        <v>410.64285275048212</v>
      </c>
      <c r="F92" s="213">
        <f t="shared" si="7"/>
        <v>14450.686922205985</v>
      </c>
      <c r="G92" s="213"/>
    </row>
    <row r="93" spans="1:7" x14ac:dyDescent="0.25">
      <c r="A93" s="226">
        <f t="shared" si="9"/>
        <v>46478</v>
      </c>
      <c r="B93" s="213">
        <f t="shared" si="8"/>
        <v>14450.686922205985</v>
      </c>
      <c r="C93" s="214">
        <f>IF(ROUND(Tableau3626[[#This Row],[Solde début période]],2)&lt;=0,0,$D$2)</f>
        <v>466.37283940656886</v>
      </c>
      <c r="D93" s="214">
        <f t="shared" si="5"/>
        <v>54.190075958272445</v>
      </c>
      <c r="E93" s="214">
        <f t="shared" si="6"/>
        <v>412.18276344829644</v>
      </c>
      <c r="F93" s="213">
        <f t="shared" si="7"/>
        <v>14038.504158757689</v>
      </c>
      <c r="G93" s="213"/>
    </row>
    <row r="94" spans="1:7" x14ac:dyDescent="0.25">
      <c r="A94" s="226">
        <f t="shared" si="9"/>
        <v>46508</v>
      </c>
      <c r="B94" s="213">
        <f t="shared" si="8"/>
        <v>14038.504158757689</v>
      </c>
      <c r="C94" s="214">
        <f>IF(ROUND(Tableau3626[[#This Row],[Solde début période]],2)&lt;=0,0,$D$2)</f>
        <v>466.37283940656886</v>
      </c>
      <c r="D94" s="214">
        <f t="shared" si="5"/>
        <v>52.644390595341328</v>
      </c>
      <c r="E94" s="214">
        <f t="shared" si="6"/>
        <v>413.72844881122751</v>
      </c>
      <c r="F94" s="213">
        <f t="shared" si="7"/>
        <v>13624.775709946462</v>
      </c>
      <c r="G94" s="213"/>
    </row>
    <row r="95" spans="1:7" x14ac:dyDescent="0.25">
      <c r="A95" s="226">
        <f t="shared" si="9"/>
        <v>46539</v>
      </c>
      <c r="B95" s="213">
        <f t="shared" si="8"/>
        <v>13624.775709946462</v>
      </c>
      <c r="C95" s="214">
        <f>IF(ROUND(Tableau3626[[#This Row],[Solde début période]],2)&lt;=0,0,$D$2)</f>
        <v>466.37283940656886</v>
      </c>
      <c r="D95" s="214">
        <f t="shared" si="5"/>
        <v>51.092908912299229</v>
      </c>
      <c r="E95" s="214">
        <f t="shared" si="6"/>
        <v>415.27993049426965</v>
      </c>
      <c r="F95" s="213">
        <f t="shared" si="7"/>
        <v>13209.495779452192</v>
      </c>
      <c r="G95" s="213"/>
    </row>
    <row r="96" spans="1:7" x14ac:dyDescent="0.25">
      <c r="A96" s="226">
        <f t="shared" si="9"/>
        <v>46569</v>
      </c>
      <c r="B96" s="213">
        <f t="shared" si="8"/>
        <v>13209.495779452192</v>
      </c>
      <c r="C96" s="214">
        <f>IF(ROUND(Tableau3626[[#This Row],[Solde début période]],2)&lt;=0,0,$D$2)</f>
        <v>466.37283940656886</v>
      </c>
      <c r="D96" s="214">
        <f t="shared" si="5"/>
        <v>49.535609172945719</v>
      </c>
      <c r="E96" s="214">
        <f t="shared" si="6"/>
        <v>416.83723023362313</v>
      </c>
      <c r="F96" s="213">
        <f t="shared" si="7"/>
        <v>12792.65854921857</v>
      </c>
      <c r="G96" s="213"/>
    </row>
    <row r="97" spans="1:7" x14ac:dyDescent="0.25">
      <c r="A97" s="226">
        <f t="shared" si="9"/>
        <v>46600</v>
      </c>
      <c r="B97" s="213">
        <f t="shared" si="8"/>
        <v>12792.65854921857</v>
      </c>
      <c r="C97" s="214">
        <f>IF(ROUND(Tableau3626[[#This Row],[Solde début période]],2)&lt;=0,0,$D$2)</f>
        <v>466.37283940656886</v>
      </c>
      <c r="D97" s="214">
        <f t="shared" si="5"/>
        <v>47.972469559569632</v>
      </c>
      <c r="E97" s="214">
        <f t="shared" si="6"/>
        <v>418.40036984699924</v>
      </c>
      <c r="F97" s="213">
        <f t="shared" si="7"/>
        <v>12374.258179371571</v>
      </c>
      <c r="G97" s="213"/>
    </row>
    <row r="98" spans="1:7" x14ac:dyDescent="0.25">
      <c r="A98" s="226">
        <f t="shared" si="9"/>
        <v>46631</v>
      </c>
      <c r="B98" s="213">
        <f t="shared" si="8"/>
        <v>12374.258179371571</v>
      </c>
      <c r="C98" s="214">
        <f>IF(ROUND(Tableau3626[[#This Row],[Solde début période]],2)&lt;=0,0,$D$2)</f>
        <v>466.37283940656886</v>
      </c>
      <c r="D98" s="214">
        <f t="shared" si="5"/>
        <v>46.403468172643386</v>
      </c>
      <c r="E98" s="214">
        <f t="shared" si="6"/>
        <v>419.96937123392547</v>
      </c>
      <c r="F98" s="213">
        <f t="shared" si="7"/>
        <v>11954.288808137646</v>
      </c>
      <c r="G98" s="213"/>
    </row>
    <row r="99" spans="1:7" x14ac:dyDescent="0.25">
      <c r="A99" s="226">
        <f t="shared" si="9"/>
        <v>46661</v>
      </c>
      <c r="B99" s="213">
        <f t="shared" si="8"/>
        <v>11954.288808137646</v>
      </c>
      <c r="C99" s="214">
        <f>IF(ROUND(Tableau3626[[#This Row],[Solde début période]],2)&lt;=0,0,$D$2)</f>
        <v>466.37283940656886</v>
      </c>
      <c r="D99" s="214">
        <f t="shared" si="5"/>
        <v>44.828583030516171</v>
      </c>
      <c r="E99" s="214">
        <f t="shared" si="6"/>
        <v>421.54425637605266</v>
      </c>
      <c r="F99" s="213">
        <f t="shared" si="7"/>
        <v>11532.744551761592</v>
      </c>
      <c r="G99" s="213"/>
    </row>
    <row r="100" spans="1:7" x14ac:dyDescent="0.25">
      <c r="A100" s="226">
        <f t="shared" si="9"/>
        <v>46692</v>
      </c>
      <c r="B100" s="213">
        <f t="shared" si="8"/>
        <v>11532.744551761592</v>
      </c>
      <c r="C100" s="214">
        <f>IF(ROUND(Tableau3626[[#This Row],[Solde début période]],2)&lt;=0,0,$D$2)</f>
        <v>466.37283940656886</v>
      </c>
      <c r="D100" s="214">
        <f t="shared" si="5"/>
        <v>43.247792069105969</v>
      </c>
      <c r="E100" s="214">
        <f t="shared" si="6"/>
        <v>423.12504733746289</v>
      </c>
      <c r="F100" s="213">
        <f t="shared" si="7"/>
        <v>11109.61950442413</v>
      </c>
      <c r="G100" s="213"/>
    </row>
    <row r="101" spans="1:7" x14ac:dyDescent="0.25">
      <c r="A101" s="226">
        <f t="shared" si="9"/>
        <v>46722</v>
      </c>
      <c r="B101" s="213">
        <f t="shared" si="8"/>
        <v>11109.61950442413</v>
      </c>
      <c r="C101" s="214">
        <f>IF(ROUND(Tableau3626[[#This Row],[Solde début période]],2)&lt;=0,0,$D$2)</f>
        <v>466.37283940656886</v>
      </c>
      <c r="D101" s="214">
        <f t="shared" si="5"/>
        <v>41.661073141590485</v>
      </c>
      <c r="E101" s="214">
        <f t="shared" si="6"/>
        <v>424.71176626497839</v>
      </c>
      <c r="F101" s="213">
        <f t="shared" si="7"/>
        <v>10684.907738159152</v>
      </c>
      <c r="G101" s="213"/>
    </row>
    <row r="102" spans="1:7" x14ac:dyDescent="0.25">
      <c r="A102" s="226">
        <f t="shared" si="9"/>
        <v>46753</v>
      </c>
      <c r="B102" s="213">
        <f t="shared" si="8"/>
        <v>10684.907738159152</v>
      </c>
      <c r="C102" s="214">
        <f>IF(ROUND(Tableau3626[[#This Row],[Solde début période]],2)&lt;=0,0,$D$2)</f>
        <v>466.37283940656886</v>
      </c>
      <c r="D102" s="214">
        <f t="shared" si="5"/>
        <v>40.068404018096821</v>
      </c>
      <c r="E102" s="214">
        <f t="shared" si="6"/>
        <v>426.30443538847203</v>
      </c>
      <c r="F102" s="213">
        <f t="shared" si="7"/>
        <v>10258.60330277068</v>
      </c>
      <c r="G102" s="213"/>
    </row>
    <row r="103" spans="1:7" x14ac:dyDescent="0.25">
      <c r="A103" s="226">
        <f t="shared" si="9"/>
        <v>46784</v>
      </c>
      <c r="B103" s="213">
        <f t="shared" si="8"/>
        <v>10258.60330277068</v>
      </c>
      <c r="C103" s="214">
        <f>IF(ROUND(Tableau3626[[#This Row],[Solde début période]],2)&lt;=0,0,$D$2)</f>
        <v>466.37283940656886</v>
      </c>
      <c r="D103" s="214">
        <f t="shared" si="5"/>
        <v>38.469762385390048</v>
      </c>
      <c r="E103" s="214">
        <f t="shared" si="6"/>
        <v>427.90307702117883</v>
      </c>
      <c r="F103" s="213">
        <f t="shared" si="7"/>
        <v>9830.7002257495005</v>
      </c>
      <c r="G103" s="213"/>
    </row>
    <row r="104" spans="1:7" x14ac:dyDescent="0.25">
      <c r="A104" s="226">
        <f t="shared" si="9"/>
        <v>46813</v>
      </c>
      <c r="B104" s="213">
        <f t="shared" si="8"/>
        <v>9830.7002257495005</v>
      </c>
      <c r="C104" s="214">
        <f>IF(ROUND(Tableau3626[[#This Row],[Solde début période]],2)&lt;=0,0,$D$2)</f>
        <v>466.37283940656886</v>
      </c>
      <c r="D104" s="214">
        <f t="shared" si="5"/>
        <v>36.865125846560623</v>
      </c>
      <c r="E104" s="214">
        <f t="shared" si="6"/>
        <v>429.50771356000826</v>
      </c>
      <c r="F104" s="213">
        <f t="shared" si="7"/>
        <v>9401.1925121894928</v>
      </c>
      <c r="G104" s="213"/>
    </row>
    <row r="105" spans="1:7" x14ac:dyDescent="0.25">
      <c r="A105" s="226">
        <f t="shared" si="9"/>
        <v>46844</v>
      </c>
      <c r="B105" s="213">
        <f t="shared" si="8"/>
        <v>9401.1925121894928</v>
      </c>
      <c r="C105" s="214">
        <f>IF(ROUND(Tableau3626[[#This Row],[Solde début période]],2)&lt;=0,0,$D$2)</f>
        <v>466.37283940656886</v>
      </c>
      <c r="D105" s="214">
        <f t="shared" si="5"/>
        <v>35.2544719207106</v>
      </c>
      <c r="E105" s="214">
        <f t="shared" si="6"/>
        <v>431.11836748585824</v>
      </c>
      <c r="F105" s="213">
        <f t="shared" si="7"/>
        <v>8970.0741447036344</v>
      </c>
      <c r="G105" s="213"/>
    </row>
    <row r="106" spans="1:7" x14ac:dyDescent="0.25">
      <c r="A106" s="226">
        <f t="shared" si="9"/>
        <v>46874</v>
      </c>
      <c r="B106" s="213">
        <f t="shared" si="8"/>
        <v>8970.0741447036344</v>
      </c>
      <c r="C106" s="214">
        <f>IF(ROUND(Tableau3626[[#This Row],[Solde début période]],2)&lt;=0,0,$D$2)</f>
        <v>466.37283940656886</v>
      </c>
      <c r="D106" s="214">
        <f t="shared" si="5"/>
        <v>33.637778042638629</v>
      </c>
      <c r="E106" s="214">
        <f t="shared" si="6"/>
        <v>432.73506136393024</v>
      </c>
      <c r="F106" s="213">
        <f t="shared" si="7"/>
        <v>8537.3390833397043</v>
      </c>
      <c r="G106" s="213"/>
    </row>
    <row r="107" spans="1:7" x14ac:dyDescent="0.25">
      <c r="A107" s="226">
        <f t="shared" si="9"/>
        <v>46905</v>
      </c>
      <c r="B107" s="213">
        <f t="shared" si="8"/>
        <v>8537.3390833397043</v>
      </c>
      <c r="C107" s="214">
        <f>IF(ROUND(Tableau3626[[#This Row],[Solde début période]],2)&lt;=0,0,$D$2)</f>
        <v>466.37283940656886</v>
      </c>
      <c r="D107" s="214">
        <f t="shared" si="5"/>
        <v>32.015021562523891</v>
      </c>
      <c r="E107" s="214">
        <f t="shared" si="6"/>
        <v>434.35781784404497</v>
      </c>
      <c r="F107" s="213">
        <f t="shared" si="7"/>
        <v>8102.9812654956595</v>
      </c>
      <c r="G107" s="213"/>
    </row>
    <row r="108" spans="1:7" x14ac:dyDescent="0.25">
      <c r="A108" s="226">
        <f t="shared" si="9"/>
        <v>46935</v>
      </c>
      <c r="B108" s="213">
        <f t="shared" si="8"/>
        <v>8102.9812654956595</v>
      </c>
      <c r="C108" s="214">
        <f>IF(ROUND(Tableau3626[[#This Row],[Solde début période]],2)&lt;=0,0,$D$2)</f>
        <v>466.37283940656886</v>
      </c>
      <c r="D108" s="214">
        <f t="shared" si="5"/>
        <v>30.386179745608722</v>
      </c>
      <c r="E108" s="214">
        <f t="shared" si="6"/>
        <v>435.98665966096013</v>
      </c>
      <c r="F108" s="213">
        <f t="shared" si="7"/>
        <v>7666.9946058346995</v>
      </c>
      <c r="G108" s="213"/>
    </row>
    <row r="109" spans="1:7" x14ac:dyDescent="0.25">
      <c r="A109" s="226">
        <f t="shared" si="9"/>
        <v>46966</v>
      </c>
      <c r="B109" s="213">
        <f t="shared" si="8"/>
        <v>7666.9946058346995</v>
      </c>
      <c r="C109" s="214">
        <f>IF(ROUND(Tableau3626[[#This Row],[Solde début période]],2)&lt;=0,0,$D$2)</f>
        <v>466.37283940656886</v>
      </c>
      <c r="D109" s="214">
        <f t="shared" si="5"/>
        <v>28.751229771880123</v>
      </c>
      <c r="E109" s="214">
        <f t="shared" si="6"/>
        <v>437.62160963468875</v>
      </c>
      <c r="F109" s="213">
        <f t="shared" si="7"/>
        <v>7229.3729962000107</v>
      </c>
      <c r="G109" s="213"/>
    </row>
    <row r="110" spans="1:7" x14ac:dyDescent="0.25">
      <c r="A110" s="226">
        <f t="shared" si="9"/>
        <v>46997</v>
      </c>
      <c r="B110" s="213">
        <f t="shared" si="8"/>
        <v>7229.3729962000107</v>
      </c>
      <c r="C110" s="214">
        <f>IF(ROUND(Tableau3626[[#This Row],[Solde début période]],2)&lt;=0,0,$D$2)</f>
        <v>466.37283940656886</v>
      </c>
      <c r="D110" s="214">
        <f t="shared" si="5"/>
        <v>27.110148735750037</v>
      </c>
      <c r="E110" s="214">
        <f t="shared" si="6"/>
        <v>439.26269067081881</v>
      </c>
      <c r="F110" s="213">
        <f t="shared" si="7"/>
        <v>6790.1103055291915</v>
      </c>
      <c r="G110" s="213"/>
    </row>
    <row r="111" spans="1:7" x14ac:dyDescent="0.25">
      <c r="A111" s="226">
        <f t="shared" si="9"/>
        <v>47027</v>
      </c>
      <c r="B111" s="213">
        <f t="shared" si="8"/>
        <v>6790.1103055291915</v>
      </c>
      <c r="C111" s="214">
        <f>IF(ROUND(Tableau3626[[#This Row],[Solde début période]],2)&lt;=0,0,$D$2)</f>
        <v>466.37283940656886</v>
      </c>
      <c r="D111" s="214">
        <f t="shared" si="5"/>
        <v>25.462913645734467</v>
      </c>
      <c r="E111" s="214">
        <f t="shared" si="6"/>
        <v>440.90992576083437</v>
      </c>
      <c r="F111" s="213">
        <f t="shared" si="7"/>
        <v>6349.2003797683574</v>
      </c>
      <c r="G111" s="213"/>
    </row>
    <row r="112" spans="1:7" x14ac:dyDescent="0.25">
      <c r="A112" s="226">
        <f t="shared" si="9"/>
        <v>47058</v>
      </c>
      <c r="B112" s="213">
        <f t="shared" si="8"/>
        <v>6349.2003797683574</v>
      </c>
      <c r="C112" s="214">
        <f>IF(ROUND(Tableau3626[[#This Row],[Solde début période]],2)&lt;=0,0,$D$2)</f>
        <v>466.37283940656886</v>
      </c>
      <c r="D112" s="214">
        <f t="shared" si="5"/>
        <v>23.809501424131341</v>
      </c>
      <c r="E112" s="214">
        <f t="shared" si="6"/>
        <v>442.56333798243753</v>
      </c>
      <c r="F112" s="213">
        <f t="shared" si="7"/>
        <v>5906.6370417859198</v>
      </c>
      <c r="G112" s="213"/>
    </row>
    <row r="113" spans="1:7" x14ac:dyDescent="0.25">
      <c r="A113" s="226">
        <f t="shared" si="9"/>
        <v>47088</v>
      </c>
      <c r="B113" s="213">
        <f t="shared" si="8"/>
        <v>5906.6370417859198</v>
      </c>
      <c r="C113" s="214">
        <f>IF(ROUND(Tableau3626[[#This Row],[Solde début période]],2)&lt;=0,0,$D$2)</f>
        <v>466.37283940656886</v>
      </c>
      <c r="D113" s="214">
        <f t="shared" si="5"/>
        <v>22.1498889066972</v>
      </c>
      <c r="E113" s="214">
        <f t="shared" si="6"/>
        <v>444.22295049987167</v>
      </c>
      <c r="F113" s="213">
        <f t="shared" si="7"/>
        <v>5462.4140912860485</v>
      </c>
      <c r="G113" s="213"/>
    </row>
    <row r="114" spans="1:7" x14ac:dyDescent="0.25">
      <c r="A114" s="226">
        <f t="shared" si="9"/>
        <v>47119</v>
      </c>
      <c r="B114" s="213">
        <f t="shared" si="8"/>
        <v>5462.4140912860485</v>
      </c>
      <c r="C114" s="214">
        <f>IF(ROUND(Tableau3626[[#This Row],[Solde début période]],2)&lt;=0,0,$D$2)</f>
        <v>466.37283940656886</v>
      </c>
      <c r="D114" s="214">
        <f t="shared" si="5"/>
        <v>20.484052842322679</v>
      </c>
      <c r="E114" s="214">
        <f t="shared" si="6"/>
        <v>445.88878656424617</v>
      </c>
      <c r="F114" s="213">
        <f t="shared" si="7"/>
        <v>5016.5253047218021</v>
      </c>
      <c r="G114" s="213"/>
    </row>
    <row r="115" spans="1:7" x14ac:dyDescent="0.25">
      <c r="A115" s="226">
        <f t="shared" si="9"/>
        <v>47150</v>
      </c>
      <c r="B115" s="213">
        <f t="shared" si="8"/>
        <v>5016.5253047218021</v>
      </c>
      <c r="C115" s="214">
        <f>IF(ROUND(Tableau3626[[#This Row],[Solde début période]],2)&lt;=0,0,$D$2)</f>
        <v>466.37283940656886</v>
      </c>
      <c r="D115" s="214">
        <f t="shared" si="5"/>
        <v>18.811969892706756</v>
      </c>
      <c r="E115" s="214">
        <f t="shared" si="6"/>
        <v>447.56086951386209</v>
      </c>
      <c r="F115" s="213">
        <f t="shared" si="7"/>
        <v>4568.9644352079404</v>
      </c>
      <c r="G115" s="213"/>
    </row>
    <row r="116" spans="1:7" x14ac:dyDescent="0.25">
      <c r="A116" s="226">
        <f t="shared" si="9"/>
        <v>47178</v>
      </c>
      <c r="B116" s="213">
        <f t="shared" si="8"/>
        <v>4568.9644352079404</v>
      </c>
      <c r="C116" s="214">
        <f>IF(ROUND(Tableau3626[[#This Row],[Solde début période]],2)&lt;=0,0,$D$2)</f>
        <v>466.37283940656886</v>
      </c>
      <c r="D116" s="214">
        <f t="shared" si="5"/>
        <v>17.133616632029774</v>
      </c>
      <c r="E116" s="214">
        <f t="shared" si="6"/>
        <v>449.23922277453909</v>
      </c>
      <c r="F116" s="213">
        <f t="shared" si="7"/>
        <v>4119.7252124334009</v>
      </c>
      <c r="G116" s="213"/>
    </row>
    <row r="117" spans="1:7" x14ac:dyDescent="0.25">
      <c r="A117" s="226">
        <f t="shared" si="9"/>
        <v>47209</v>
      </c>
      <c r="B117" s="213">
        <f t="shared" si="8"/>
        <v>4119.7252124334009</v>
      </c>
      <c r="C117" s="214">
        <f>IF(ROUND(Tableau3626[[#This Row],[Solde début période]],2)&lt;=0,0,$D$2)</f>
        <v>466.37283940656886</v>
      </c>
      <c r="D117" s="214">
        <f t="shared" si="5"/>
        <v>15.448969546625253</v>
      </c>
      <c r="E117" s="214">
        <f t="shared" si="6"/>
        <v>450.92386985994358</v>
      </c>
      <c r="F117" s="213">
        <f t="shared" si="7"/>
        <v>3668.8013425734571</v>
      </c>
      <c r="G117" s="213"/>
    </row>
    <row r="118" spans="1:7" x14ac:dyDescent="0.25">
      <c r="A118" s="226">
        <f t="shared" si="9"/>
        <v>47239</v>
      </c>
      <c r="B118" s="213">
        <f t="shared" si="8"/>
        <v>3668.8013425734571</v>
      </c>
      <c r="C118" s="214">
        <f>IF(ROUND(Tableau3626[[#This Row],[Solde début période]],2)&lt;=0,0,$D$2)</f>
        <v>466.37283940656886</v>
      </c>
      <c r="D118" s="214">
        <f t="shared" si="5"/>
        <v>13.758005034650463</v>
      </c>
      <c r="E118" s="214">
        <f t="shared" si="6"/>
        <v>452.61483437191839</v>
      </c>
      <c r="F118" s="213">
        <f t="shared" si="7"/>
        <v>3216.1865082015388</v>
      </c>
      <c r="G118" s="213"/>
    </row>
    <row r="119" spans="1:7" x14ac:dyDescent="0.25">
      <c r="A119" s="226">
        <f t="shared" si="9"/>
        <v>47270</v>
      </c>
      <c r="B119" s="213">
        <f t="shared" si="8"/>
        <v>3216.1865082015388</v>
      </c>
      <c r="C119" s="214">
        <f>IF(ROUND(Tableau3626[[#This Row],[Solde début période]],2)&lt;=0,0,$D$2)</f>
        <v>466.37283940656886</v>
      </c>
      <c r="D119" s="214">
        <f t="shared" si="5"/>
        <v>12.06069940575577</v>
      </c>
      <c r="E119" s="214">
        <f t="shared" si="6"/>
        <v>454.31214000081309</v>
      </c>
      <c r="F119" s="213">
        <f t="shared" si="7"/>
        <v>2761.8743682007257</v>
      </c>
      <c r="G119" s="213"/>
    </row>
    <row r="120" spans="1:7" x14ac:dyDescent="0.25">
      <c r="A120" s="226">
        <f t="shared" si="9"/>
        <v>47300</v>
      </c>
      <c r="B120" s="213">
        <f t="shared" si="8"/>
        <v>2761.8743682007257</v>
      </c>
      <c r="C120" s="214">
        <f>IF(ROUND(Tableau3626[[#This Row],[Solde début période]],2)&lt;=0,0,$D$2)</f>
        <v>466.37283940656886</v>
      </c>
      <c r="D120" s="214">
        <f t="shared" si="5"/>
        <v>10.35702888075272</v>
      </c>
      <c r="E120" s="214">
        <f t="shared" si="6"/>
        <v>456.01581052581616</v>
      </c>
      <c r="F120" s="213">
        <f t="shared" si="7"/>
        <v>2305.8585576749097</v>
      </c>
      <c r="G120" s="213"/>
    </row>
    <row r="121" spans="1:7" x14ac:dyDescent="0.25">
      <c r="A121" s="226">
        <f t="shared" si="9"/>
        <v>47331</v>
      </c>
      <c r="B121" s="213">
        <f t="shared" si="8"/>
        <v>2305.8585576749097</v>
      </c>
      <c r="C121" s="214">
        <f>IF(ROUND(Tableau3626[[#This Row],[Solde début période]],2)&lt;=0,0,$D$2)</f>
        <v>466.37283940656886</v>
      </c>
      <c r="D121" s="214">
        <f t="shared" si="5"/>
        <v>8.6469695912809108</v>
      </c>
      <c r="E121" s="214">
        <f t="shared" si="6"/>
        <v>457.72586981528792</v>
      </c>
      <c r="F121" s="213">
        <f t="shared" si="7"/>
        <v>1848.1326878596217</v>
      </c>
      <c r="G121" s="213"/>
    </row>
    <row r="122" spans="1:7" x14ac:dyDescent="0.25">
      <c r="A122" s="226">
        <f t="shared" si="9"/>
        <v>47362</v>
      </c>
      <c r="B122" s="213">
        <f t="shared" si="8"/>
        <v>1848.1326878596217</v>
      </c>
      <c r="C122" s="214">
        <f>IF(ROUND(Tableau3626[[#This Row],[Solde début période]],2)&lt;=0,0,$D$2)</f>
        <v>466.37283940656886</v>
      </c>
      <c r="D122" s="214">
        <f t="shared" si="5"/>
        <v>6.930497579473581</v>
      </c>
      <c r="E122" s="214">
        <f t="shared" si="6"/>
        <v>459.44234182709528</v>
      </c>
      <c r="F122" s="213">
        <f t="shared" si="7"/>
        <v>1388.6903460325263</v>
      </c>
      <c r="G122" s="213"/>
    </row>
    <row r="123" spans="1:7" x14ac:dyDescent="0.25">
      <c r="A123" s="226">
        <f t="shared" si="9"/>
        <v>47392</v>
      </c>
      <c r="B123" s="213">
        <f t="shared" si="8"/>
        <v>1388.6903460325263</v>
      </c>
      <c r="C123" s="214">
        <f>IF(ROUND(Tableau3626[[#This Row],[Solde début période]],2)&lt;=0,0,$D$2)</f>
        <v>466.37283940656886</v>
      </c>
      <c r="D123" s="214">
        <f t="shared" si="5"/>
        <v>5.2075887976219732</v>
      </c>
      <c r="E123" s="214">
        <f t="shared" si="6"/>
        <v>461.16525060894691</v>
      </c>
      <c r="F123" s="213">
        <f t="shared" si="7"/>
        <v>927.52509542357939</v>
      </c>
      <c r="G123" s="213"/>
    </row>
    <row r="124" spans="1:7" x14ac:dyDescent="0.25">
      <c r="A124" s="226">
        <f t="shared" si="9"/>
        <v>47423</v>
      </c>
      <c r="B124" s="213">
        <f t="shared" si="8"/>
        <v>927.52509542357939</v>
      </c>
      <c r="C124" s="214">
        <f>IF(ROUND(Tableau3626[[#This Row],[Solde début période]],2)&lt;=0,0,$D$2)</f>
        <v>466.37283940656886</v>
      </c>
      <c r="D124" s="214">
        <f t="shared" si="5"/>
        <v>3.4782191078384224</v>
      </c>
      <c r="E124" s="214">
        <f t="shared" si="6"/>
        <v>462.89462029873044</v>
      </c>
      <c r="F124" s="213">
        <f t="shared" si="7"/>
        <v>464.63047512484894</v>
      </c>
      <c r="G124" s="213"/>
    </row>
    <row r="125" spans="1:7" x14ac:dyDescent="0.25">
      <c r="A125" s="226">
        <f t="shared" si="9"/>
        <v>47453</v>
      </c>
      <c r="B125" s="213">
        <f t="shared" si="8"/>
        <v>464.63047512484894</v>
      </c>
      <c r="C125" s="214">
        <f>IF(ROUND(Tableau3626[[#This Row],[Solde début période]],2)&lt;=0,0,$D$2)</f>
        <v>466.37283940656886</v>
      </c>
      <c r="D125" s="214">
        <f t="shared" si="5"/>
        <v>1.7423642817181835</v>
      </c>
      <c r="E125" s="214">
        <f t="shared" si="6"/>
        <v>464.63047512485065</v>
      </c>
      <c r="F125" s="213">
        <f t="shared" si="7"/>
        <v>-1.7053025658242404E-12</v>
      </c>
      <c r="G125" s="213"/>
    </row>
    <row r="126" spans="1:7" x14ac:dyDescent="0.25">
      <c r="A126" s="226">
        <f t="shared" si="9"/>
        <v>47484</v>
      </c>
      <c r="B126" s="213">
        <f t="shared" si="8"/>
        <v>-1.7053025658242404E-12</v>
      </c>
      <c r="C126" s="214">
        <f>IF(ROUND(Tableau3626[[#This Row],[Solde début période]],2)&lt;=0,0,$D$2)</f>
        <v>0</v>
      </c>
      <c r="D126" s="214">
        <f t="shared" si="5"/>
        <v>-6.394884621840901E-15</v>
      </c>
      <c r="E126" s="214">
        <f t="shared" si="6"/>
        <v>6.394884621840901E-15</v>
      </c>
      <c r="F126" s="213">
        <f t="shared" si="7"/>
        <v>-1.7116974504460814E-12</v>
      </c>
    </row>
    <row r="127" spans="1:7" x14ac:dyDescent="0.25">
      <c r="A127" s="226">
        <f t="shared" si="9"/>
        <v>47515</v>
      </c>
      <c r="B127" s="213">
        <f t="shared" si="8"/>
        <v>-1.7116974504460814E-12</v>
      </c>
      <c r="C127" s="214">
        <f>IF(ROUND(Tableau3626[[#This Row],[Solde début période]],2)&lt;=0,0,$D$2)</f>
        <v>0</v>
      </c>
      <c r="D127" s="214">
        <f t="shared" si="5"/>
        <v>-6.4188654391728053E-15</v>
      </c>
      <c r="E127" s="214">
        <f t="shared" si="6"/>
        <v>6.4188654391728053E-15</v>
      </c>
      <c r="F127" s="213">
        <f t="shared" si="7"/>
        <v>-1.7181163158852543E-12</v>
      </c>
    </row>
    <row r="128" spans="1:7" x14ac:dyDescent="0.25">
      <c r="A128" s="226">
        <f t="shared" si="9"/>
        <v>47543</v>
      </c>
      <c r="B128" s="213">
        <f t="shared" si="8"/>
        <v>-1.7181163158852543E-12</v>
      </c>
      <c r="C128" s="214">
        <f>IF(ROUND(Tableau3626[[#This Row],[Solde début période]],2)&lt;=0,0,$D$2)</f>
        <v>0</v>
      </c>
      <c r="D128" s="214">
        <f t="shared" si="5"/>
        <v>-6.4429361845697036E-15</v>
      </c>
      <c r="E128" s="214">
        <f t="shared" si="6"/>
        <v>6.4429361845697036E-15</v>
      </c>
      <c r="F128" s="213">
        <f t="shared" si="7"/>
        <v>-1.724559252069824E-12</v>
      </c>
    </row>
    <row r="129" spans="1:6" x14ac:dyDescent="0.25">
      <c r="A129" s="226">
        <f t="shared" si="9"/>
        <v>47574</v>
      </c>
      <c r="B129" s="213">
        <f t="shared" si="8"/>
        <v>-1.724559252069824E-12</v>
      </c>
      <c r="C129" s="214">
        <f>IF(ROUND(Tableau3626[[#This Row],[Solde début période]],2)&lt;=0,0,$D$2)</f>
        <v>0</v>
      </c>
      <c r="D129" s="214">
        <f t="shared" si="5"/>
        <v>-6.4670971952618397E-15</v>
      </c>
      <c r="E129" s="214">
        <f t="shared" si="6"/>
        <v>6.4670971952618397E-15</v>
      </c>
      <c r="F129" s="213">
        <f t="shared" si="7"/>
        <v>-1.7310263492650858E-12</v>
      </c>
    </row>
    <row r="130" spans="1:6" x14ac:dyDescent="0.25">
      <c r="A130" s="226">
        <f t="shared" si="9"/>
        <v>47604</v>
      </c>
      <c r="B130" s="213">
        <f t="shared" si="8"/>
        <v>-1.7310263492650858E-12</v>
      </c>
      <c r="C130" s="214">
        <f>IF(ROUND(Tableau3626[[#This Row],[Solde début période]],2)&lt;=0,0,$D$2)</f>
        <v>0</v>
      </c>
      <c r="D130" s="214">
        <f t="shared" si="5"/>
        <v>-6.4913488097440717E-15</v>
      </c>
      <c r="E130" s="214">
        <f t="shared" si="6"/>
        <v>6.4913488097440717E-15</v>
      </c>
      <c r="F130" s="213">
        <f t="shared" si="7"/>
        <v>-1.73751769807483E-12</v>
      </c>
    </row>
    <row r="131" spans="1:6" x14ac:dyDescent="0.25">
      <c r="A131" s="226">
        <f t="shared" si="9"/>
        <v>47635</v>
      </c>
      <c r="B131" s="213">
        <f t="shared" si="8"/>
        <v>-1.73751769807483E-12</v>
      </c>
      <c r="C131" s="214">
        <f>IF(ROUND(Tableau3626[[#This Row],[Solde début période]],2)&lt;=0,0,$D$2)</f>
        <v>0</v>
      </c>
      <c r="D131" s="214">
        <f t="shared" si="5"/>
        <v>-6.5156913677806121E-15</v>
      </c>
      <c r="E131" s="214">
        <f t="shared" si="6"/>
        <v>6.5156913677806121E-15</v>
      </c>
      <c r="F131" s="213">
        <f t="shared" si="7"/>
        <v>-1.7440333894426106E-12</v>
      </c>
    </row>
    <row r="132" spans="1:6" x14ac:dyDescent="0.25">
      <c r="A132" s="226">
        <f t="shared" si="9"/>
        <v>47665</v>
      </c>
      <c r="B132" s="213">
        <f t="shared" si="8"/>
        <v>-1.7440333894426106E-12</v>
      </c>
      <c r="C132" s="214">
        <f>IF(ROUND(Tableau3626[[#This Row],[Solde début période]],2)&lt;=0,0,$D$2)</f>
        <v>0</v>
      </c>
      <c r="D132" s="214">
        <f t="shared" si="5"/>
        <v>-6.5401252104097897E-15</v>
      </c>
      <c r="E132" s="214">
        <f t="shared" si="6"/>
        <v>6.5401252104097897E-15</v>
      </c>
      <c r="F132" s="213">
        <f t="shared" si="7"/>
        <v>-1.7505735146530204E-12</v>
      </c>
    </row>
    <row r="133" spans="1:6" x14ac:dyDescent="0.25">
      <c r="A133" s="226">
        <f t="shared" si="9"/>
        <v>47696</v>
      </c>
      <c r="B133" s="213">
        <f t="shared" si="8"/>
        <v>-1.7505735146530204E-12</v>
      </c>
      <c r="C133" s="214">
        <f>IF(ROUND(Tableau3626[[#This Row],[Solde début période]],2)&lt;=0,0,$D$2)</f>
        <v>0</v>
      </c>
      <c r="D133" s="214">
        <f t="shared" si="5"/>
        <v>-6.5646506799488264E-15</v>
      </c>
      <c r="E133" s="214">
        <f t="shared" si="6"/>
        <v>6.5646506799488264E-15</v>
      </c>
      <c r="F133" s="213">
        <f t="shared" si="7"/>
        <v>-1.7571381653329693E-12</v>
      </c>
    </row>
    <row r="134" spans="1:6" x14ac:dyDescent="0.25">
      <c r="A134" s="226">
        <f t="shared" si="9"/>
        <v>47727</v>
      </c>
      <c r="B134" s="213">
        <f t="shared" si="8"/>
        <v>-1.7571381653329693E-12</v>
      </c>
      <c r="C134" s="214">
        <f>IF(ROUND(Tableau3626[[#This Row],[Solde début période]],2)&lt;=0,0,$D$2)</f>
        <v>0</v>
      </c>
      <c r="D134" s="214">
        <f t="shared" ref="D134:D197" si="10">B134*($B$2/12)</f>
        <v>-6.5892681199986347E-15</v>
      </c>
      <c r="E134" s="214">
        <f t="shared" ref="E134:E197" si="11">C134-D134</f>
        <v>6.5892681199986347E-15</v>
      </c>
      <c r="F134" s="213">
        <f t="shared" ref="F134:F197" si="12">B134-E134</f>
        <v>-1.7637274334529679E-12</v>
      </c>
    </row>
    <row r="135" spans="1:6" x14ac:dyDescent="0.25">
      <c r="A135" s="226">
        <f t="shared" si="9"/>
        <v>47757</v>
      </c>
      <c r="B135" s="213">
        <f t="shared" ref="B135:B198" si="13">F134</f>
        <v>-1.7637274334529679E-12</v>
      </c>
      <c r="C135" s="214">
        <f>IF(ROUND(Tableau3626[[#This Row],[Solde début période]],2)&lt;=0,0,$D$2)</f>
        <v>0</v>
      </c>
      <c r="D135" s="214">
        <f t="shared" si="10"/>
        <v>-6.613977875448629E-15</v>
      </c>
      <c r="E135" s="214">
        <f t="shared" si="11"/>
        <v>6.613977875448629E-15</v>
      </c>
      <c r="F135" s="213">
        <f t="shared" si="12"/>
        <v>-1.7703414113284165E-12</v>
      </c>
    </row>
    <row r="136" spans="1:6" x14ac:dyDescent="0.25">
      <c r="A136" s="226">
        <f t="shared" ref="A136:A199" si="14">EDATE(A135,1)</f>
        <v>47788</v>
      </c>
      <c r="B136" s="213">
        <f t="shared" si="13"/>
        <v>-1.7703414113284165E-12</v>
      </c>
      <c r="C136" s="214">
        <f>IF(ROUND(Tableau3626[[#This Row],[Solde début période]],2)&lt;=0,0,$D$2)</f>
        <v>0</v>
      </c>
      <c r="D136" s="214">
        <f t="shared" si="10"/>
        <v>-6.6387802924815617E-15</v>
      </c>
      <c r="E136" s="214">
        <f t="shared" si="11"/>
        <v>6.6387802924815617E-15</v>
      </c>
      <c r="F136" s="213">
        <f t="shared" si="12"/>
        <v>-1.7769801916208982E-12</v>
      </c>
    </row>
    <row r="137" spans="1:6" x14ac:dyDescent="0.25">
      <c r="A137" s="226">
        <f t="shared" si="14"/>
        <v>47818</v>
      </c>
      <c r="B137" s="213">
        <f t="shared" si="13"/>
        <v>-1.7769801916208982E-12</v>
      </c>
      <c r="C137" s="214">
        <f>IF(ROUND(Tableau3626[[#This Row],[Solde début période]],2)&lt;=0,0,$D$2)</f>
        <v>0</v>
      </c>
      <c r="D137" s="214">
        <f t="shared" si="10"/>
        <v>-6.663675718578368E-15</v>
      </c>
      <c r="E137" s="214">
        <f t="shared" si="11"/>
        <v>6.663675718578368E-15</v>
      </c>
      <c r="F137" s="213">
        <f t="shared" si="12"/>
        <v>-1.7836438673394766E-12</v>
      </c>
    </row>
    <row r="138" spans="1:6" x14ac:dyDescent="0.25">
      <c r="A138" s="226">
        <f t="shared" si="14"/>
        <v>47849</v>
      </c>
      <c r="B138" s="213">
        <f t="shared" si="13"/>
        <v>-1.7836438673394766E-12</v>
      </c>
      <c r="C138" s="214">
        <f>IF(ROUND(Tableau3626[[#This Row],[Solde début période]],2)&lt;=0,0,$D$2)</f>
        <v>0</v>
      </c>
      <c r="D138" s="214">
        <f t="shared" si="10"/>
        <v>-6.6886645025230368E-15</v>
      </c>
      <c r="E138" s="214">
        <f t="shared" si="11"/>
        <v>6.6886645025230368E-15</v>
      </c>
      <c r="F138" s="213">
        <f t="shared" si="12"/>
        <v>-1.7903325318419995E-12</v>
      </c>
    </row>
    <row r="139" spans="1:6" x14ac:dyDescent="0.25">
      <c r="A139" s="226">
        <f t="shared" si="14"/>
        <v>47880</v>
      </c>
      <c r="B139" s="213">
        <f t="shared" si="13"/>
        <v>-1.7903325318419995E-12</v>
      </c>
      <c r="C139" s="214">
        <f>IF(ROUND(Tableau3626[[#This Row],[Solde début période]],2)&lt;=0,0,$D$2)</f>
        <v>0</v>
      </c>
      <c r="D139" s="214">
        <f t="shared" si="10"/>
        <v>-6.713746994407498E-15</v>
      </c>
      <c r="E139" s="214">
        <f t="shared" si="11"/>
        <v>6.713746994407498E-15</v>
      </c>
      <c r="F139" s="213">
        <f t="shared" si="12"/>
        <v>-1.7970462788364071E-12</v>
      </c>
    </row>
    <row r="140" spans="1:6" x14ac:dyDescent="0.25">
      <c r="A140" s="226">
        <f t="shared" si="14"/>
        <v>47908</v>
      </c>
      <c r="B140" s="213">
        <f t="shared" si="13"/>
        <v>-1.7970462788364071E-12</v>
      </c>
      <c r="C140" s="214">
        <f>IF(ROUND(Tableau3626[[#This Row],[Solde début période]],2)&lt;=0,0,$D$2)</f>
        <v>0</v>
      </c>
      <c r="D140" s="214">
        <f t="shared" si="10"/>
        <v>-6.7389235456365267E-15</v>
      </c>
      <c r="E140" s="214">
        <f t="shared" si="11"/>
        <v>6.7389235456365267E-15</v>
      </c>
      <c r="F140" s="213">
        <f t="shared" si="12"/>
        <v>-1.8037852023820437E-12</v>
      </c>
    </row>
    <row r="141" spans="1:6" x14ac:dyDescent="0.25">
      <c r="A141" s="226">
        <f t="shared" si="14"/>
        <v>47939</v>
      </c>
      <c r="B141" s="213">
        <f t="shared" si="13"/>
        <v>-1.8037852023820437E-12</v>
      </c>
      <c r="C141" s="214">
        <f>IF(ROUND(Tableau3626[[#This Row],[Solde début période]],2)&lt;=0,0,$D$2)</f>
        <v>0</v>
      </c>
      <c r="D141" s="214">
        <f t="shared" si="10"/>
        <v>-6.7641945089326633E-15</v>
      </c>
      <c r="E141" s="214">
        <f t="shared" si="11"/>
        <v>6.7641945089326633E-15</v>
      </c>
      <c r="F141" s="213">
        <f t="shared" si="12"/>
        <v>-1.8105493968909763E-12</v>
      </c>
    </row>
    <row r="142" spans="1:6" x14ac:dyDescent="0.25">
      <c r="A142" s="226">
        <f t="shared" si="14"/>
        <v>47969</v>
      </c>
      <c r="B142" s="213">
        <f t="shared" si="13"/>
        <v>-1.8105493968909763E-12</v>
      </c>
      <c r="C142" s="214">
        <f>IF(ROUND(Tableau3626[[#This Row],[Solde début période]],2)&lt;=0,0,$D$2)</f>
        <v>0</v>
      </c>
      <c r="D142" s="214">
        <f t="shared" si="10"/>
        <v>-6.789560238341161E-15</v>
      </c>
      <c r="E142" s="214">
        <f t="shared" si="11"/>
        <v>6.789560238341161E-15</v>
      </c>
      <c r="F142" s="213">
        <f t="shared" si="12"/>
        <v>-1.8173389571293174E-12</v>
      </c>
    </row>
    <row r="143" spans="1:6" x14ac:dyDescent="0.25">
      <c r="A143" s="226">
        <f t="shared" si="14"/>
        <v>48000</v>
      </c>
      <c r="B143" s="213">
        <f t="shared" si="13"/>
        <v>-1.8173389571293174E-12</v>
      </c>
      <c r="C143" s="214">
        <f>IF(ROUND(Tableau3626[[#This Row],[Solde début période]],2)&lt;=0,0,$D$2)</f>
        <v>0</v>
      </c>
      <c r="D143" s="214">
        <f t="shared" si="10"/>
        <v>-6.8150210892349405E-15</v>
      </c>
      <c r="E143" s="214">
        <f t="shared" si="11"/>
        <v>6.8150210892349405E-15</v>
      </c>
      <c r="F143" s="213">
        <f t="shared" si="12"/>
        <v>-1.8241539782185524E-12</v>
      </c>
    </row>
    <row r="144" spans="1:6" x14ac:dyDescent="0.25">
      <c r="A144" s="226">
        <f t="shared" si="14"/>
        <v>48030</v>
      </c>
      <c r="B144" s="213">
        <f t="shared" si="13"/>
        <v>-1.8241539782185524E-12</v>
      </c>
      <c r="C144" s="214">
        <f>IF(ROUND(Tableau3626[[#This Row],[Solde début période]],2)&lt;=0,0,$D$2)</f>
        <v>0</v>
      </c>
      <c r="D144" s="214">
        <f t="shared" si="10"/>
        <v>-6.840577418319571E-15</v>
      </c>
      <c r="E144" s="214">
        <f t="shared" si="11"/>
        <v>6.840577418319571E-15</v>
      </c>
      <c r="F144" s="213">
        <f t="shared" si="12"/>
        <v>-1.8309945556368718E-12</v>
      </c>
    </row>
    <row r="145" spans="1:6" x14ac:dyDescent="0.25">
      <c r="A145" s="226">
        <f t="shared" si="14"/>
        <v>48061</v>
      </c>
      <c r="B145" s="213">
        <f t="shared" si="13"/>
        <v>-1.8309945556368718E-12</v>
      </c>
      <c r="C145" s="214">
        <f>IF(ROUND(Tableau3626[[#This Row],[Solde début période]],2)&lt;=0,0,$D$2)</f>
        <v>0</v>
      </c>
      <c r="D145" s="214">
        <f t="shared" si="10"/>
        <v>-6.8662295836382687E-15</v>
      </c>
      <c r="E145" s="214">
        <f t="shared" si="11"/>
        <v>6.8662295836382687E-15</v>
      </c>
      <c r="F145" s="213">
        <f t="shared" si="12"/>
        <v>-1.83786078522051E-12</v>
      </c>
    </row>
    <row r="146" spans="1:6" x14ac:dyDescent="0.25">
      <c r="A146" s="226">
        <f t="shared" si="14"/>
        <v>48092</v>
      </c>
      <c r="B146" s="213">
        <f t="shared" si="13"/>
        <v>-1.83786078522051E-12</v>
      </c>
      <c r="C146" s="214">
        <f>IF(ROUND(Tableau3626[[#This Row],[Solde début période]],2)&lt;=0,0,$D$2)</f>
        <v>0</v>
      </c>
      <c r="D146" s="214">
        <f t="shared" si="10"/>
        <v>-6.8919779445769126E-15</v>
      </c>
      <c r="E146" s="214">
        <f t="shared" si="11"/>
        <v>6.8919779445769126E-15</v>
      </c>
      <c r="F146" s="213">
        <f t="shared" si="12"/>
        <v>-1.8447527631650869E-12</v>
      </c>
    </row>
    <row r="147" spans="1:6" x14ac:dyDescent="0.25">
      <c r="A147" s="226">
        <f t="shared" si="14"/>
        <v>48122</v>
      </c>
      <c r="B147" s="213">
        <f t="shared" si="13"/>
        <v>-1.8447527631650869E-12</v>
      </c>
      <c r="C147" s="214">
        <f>IF(ROUND(Tableau3626[[#This Row],[Solde début période]],2)&lt;=0,0,$D$2)</f>
        <v>0</v>
      </c>
      <c r="D147" s="214">
        <f t="shared" si="10"/>
        <v>-6.9178228618690753E-15</v>
      </c>
      <c r="E147" s="214">
        <f t="shared" si="11"/>
        <v>6.9178228618690753E-15</v>
      </c>
      <c r="F147" s="213">
        <f t="shared" si="12"/>
        <v>-1.851670586026956E-12</v>
      </c>
    </row>
    <row r="148" spans="1:6" x14ac:dyDescent="0.25">
      <c r="A148" s="226">
        <f t="shared" si="14"/>
        <v>48153</v>
      </c>
      <c r="B148" s="213">
        <f t="shared" si="13"/>
        <v>-1.851670586026956E-12</v>
      </c>
      <c r="C148" s="214">
        <f>IF(ROUND(Tableau3626[[#This Row],[Solde début période]],2)&lt;=0,0,$D$2)</f>
        <v>0</v>
      </c>
      <c r="D148" s="214">
        <f t="shared" si="10"/>
        <v>-6.9437646976010848E-15</v>
      </c>
      <c r="E148" s="214">
        <f t="shared" si="11"/>
        <v>6.9437646976010848E-15</v>
      </c>
      <c r="F148" s="213">
        <f t="shared" si="12"/>
        <v>-1.8586143507245569E-12</v>
      </c>
    </row>
    <row r="149" spans="1:6" x14ac:dyDescent="0.25">
      <c r="A149" s="226">
        <f t="shared" si="14"/>
        <v>48183</v>
      </c>
      <c r="B149" s="213">
        <f t="shared" si="13"/>
        <v>-1.8586143507245569E-12</v>
      </c>
      <c r="C149" s="214">
        <f>IF(ROUND(Tableau3626[[#This Row],[Solde début période]],2)&lt;=0,0,$D$2)</f>
        <v>0</v>
      </c>
      <c r="D149" s="214">
        <f t="shared" si="10"/>
        <v>-6.9698038152170881E-15</v>
      </c>
      <c r="E149" s="214">
        <f t="shared" si="11"/>
        <v>6.9698038152170881E-15</v>
      </c>
      <c r="F149" s="213">
        <f t="shared" si="12"/>
        <v>-1.8655841545397738E-12</v>
      </c>
    </row>
    <row r="150" spans="1:6" x14ac:dyDescent="0.25">
      <c r="A150" s="226">
        <f t="shared" si="14"/>
        <v>48214</v>
      </c>
      <c r="B150" s="213">
        <f t="shared" si="13"/>
        <v>-1.8655841545397738E-12</v>
      </c>
      <c r="C150" s="214">
        <f>IF(ROUND(Tableau3626[[#This Row],[Solde début période]],2)&lt;=0,0,$D$2)</f>
        <v>0</v>
      </c>
      <c r="D150" s="214">
        <f t="shared" si="10"/>
        <v>-6.9959405795241517E-15</v>
      </c>
      <c r="E150" s="214">
        <f t="shared" si="11"/>
        <v>6.9959405795241517E-15</v>
      </c>
      <c r="F150" s="213">
        <f t="shared" si="12"/>
        <v>-1.8725800951192981E-12</v>
      </c>
    </row>
    <row r="151" spans="1:6" x14ac:dyDescent="0.25">
      <c r="A151" s="226">
        <f t="shared" si="14"/>
        <v>48245</v>
      </c>
      <c r="B151" s="213">
        <f t="shared" si="13"/>
        <v>-1.8725800951192981E-12</v>
      </c>
      <c r="C151" s="214">
        <f>IF(ROUND(Tableau3626[[#This Row],[Solde début période]],2)&lt;=0,0,$D$2)</f>
        <v>0</v>
      </c>
      <c r="D151" s="214">
        <f t="shared" si="10"/>
        <v>-7.0221753566973677E-15</v>
      </c>
      <c r="E151" s="214">
        <f t="shared" si="11"/>
        <v>7.0221753566973677E-15</v>
      </c>
      <c r="F151" s="213">
        <f t="shared" si="12"/>
        <v>-1.8796022704759956E-12</v>
      </c>
    </row>
    <row r="152" spans="1:6" x14ac:dyDescent="0.25">
      <c r="A152" s="226">
        <f t="shared" si="14"/>
        <v>48274</v>
      </c>
      <c r="B152" s="213">
        <f t="shared" si="13"/>
        <v>-1.8796022704759956E-12</v>
      </c>
      <c r="C152" s="214">
        <f>IF(ROUND(Tableau3626[[#This Row],[Solde début période]],2)&lt;=0,0,$D$2)</f>
        <v>0</v>
      </c>
      <c r="D152" s="214">
        <f t="shared" si="10"/>
        <v>-7.0485085142849837E-15</v>
      </c>
      <c r="E152" s="214">
        <f t="shared" si="11"/>
        <v>7.0485085142849837E-15</v>
      </c>
      <c r="F152" s="213">
        <f t="shared" si="12"/>
        <v>-1.8866507789902808E-12</v>
      </c>
    </row>
    <row r="153" spans="1:6" x14ac:dyDescent="0.25">
      <c r="A153" s="226">
        <f t="shared" si="14"/>
        <v>48305</v>
      </c>
      <c r="B153" s="213">
        <f t="shared" si="13"/>
        <v>-1.8866507789902808E-12</v>
      </c>
      <c r="C153" s="214">
        <f>IF(ROUND(Tableau3626[[#This Row],[Solde début période]],2)&lt;=0,0,$D$2)</f>
        <v>0</v>
      </c>
      <c r="D153" s="214">
        <f t="shared" si="10"/>
        <v>-7.0749404212135525E-15</v>
      </c>
      <c r="E153" s="214">
        <f t="shared" si="11"/>
        <v>7.0749404212135525E-15</v>
      </c>
      <c r="F153" s="213">
        <f t="shared" si="12"/>
        <v>-1.8937257194114945E-12</v>
      </c>
    </row>
    <row r="154" spans="1:6" x14ac:dyDescent="0.25">
      <c r="A154" s="226">
        <f t="shared" si="14"/>
        <v>48335</v>
      </c>
      <c r="B154" s="213">
        <f t="shared" si="13"/>
        <v>-1.8937257194114945E-12</v>
      </c>
      <c r="C154" s="214">
        <f>IF(ROUND(Tableau3626[[#This Row],[Solde début période]],2)&lt;=0,0,$D$2)</f>
        <v>0</v>
      </c>
      <c r="D154" s="214">
        <f t="shared" si="10"/>
        <v>-7.1014714477931044E-15</v>
      </c>
      <c r="E154" s="214">
        <f t="shared" si="11"/>
        <v>7.1014714477931044E-15</v>
      </c>
      <c r="F154" s="213">
        <f t="shared" si="12"/>
        <v>-1.9008271908592876E-12</v>
      </c>
    </row>
    <row r="155" spans="1:6" x14ac:dyDescent="0.25">
      <c r="A155" s="226">
        <f t="shared" si="14"/>
        <v>48366</v>
      </c>
      <c r="B155" s="213">
        <f t="shared" si="13"/>
        <v>-1.9008271908592876E-12</v>
      </c>
      <c r="C155" s="214">
        <f>IF(ROUND(Tableau3626[[#This Row],[Solde début période]],2)&lt;=0,0,$D$2)</f>
        <v>0</v>
      </c>
      <c r="D155" s="214">
        <f t="shared" si="10"/>
        <v>-7.1281019657223288E-15</v>
      </c>
      <c r="E155" s="214">
        <f t="shared" si="11"/>
        <v>7.1281019657223288E-15</v>
      </c>
      <c r="F155" s="213">
        <f t="shared" si="12"/>
        <v>-1.9079552928250099E-12</v>
      </c>
    </row>
    <row r="156" spans="1:6" x14ac:dyDescent="0.25">
      <c r="A156" s="226">
        <f t="shared" si="14"/>
        <v>48396</v>
      </c>
      <c r="B156" s="213">
        <f t="shared" si="13"/>
        <v>-1.9079552928250099E-12</v>
      </c>
      <c r="C156" s="214">
        <f>IF(ROUND(Tableau3626[[#This Row],[Solde début période]],2)&lt;=0,0,$D$2)</f>
        <v>0</v>
      </c>
      <c r="D156" s="214">
        <f t="shared" si="10"/>
        <v>-7.1548323480937862E-15</v>
      </c>
      <c r="E156" s="214">
        <f t="shared" si="11"/>
        <v>7.1548323480937862E-15</v>
      </c>
      <c r="F156" s="213">
        <f t="shared" si="12"/>
        <v>-1.9151101251731037E-12</v>
      </c>
    </row>
    <row r="157" spans="1:6" x14ac:dyDescent="0.25">
      <c r="A157" s="226">
        <f t="shared" si="14"/>
        <v>48427</v>
      </c>
      <c r="B157" s="213">
        <f t="shared" si="13"/>
        <v>-1.9151101251731037E-12</v>
      </c>
      <c r="C157" s="214">
        <f>IF(ROUND(Tableau3626[[#This Row],[Solde début période]],2)&lt;=0,0,$D$2)</f>
        <v>0</v>
      </c>
      <c r="D157" s="214">
        <f t="shared" si="10"/>
        <v>-7.1816629693991383E-15</v>
      </c>
      <c r="E157" s="214">
        <f t="shared" si="11"/>
        <v>7.1816629693991383E-15</v>
      </c>
      <c r="F157" s="213">
        <f t="shared" si="12"/>
        <v>-1.922291788142503E-12</v>
      </c>
    </row>
    <row r="158" spans="1:6" x14ac:dyDescent="0.25">
      <c r="A158" s="226">
        <f t="shared" si="14"/>
        <v>48458</v>
      </c>
      <c r="B158" s="213">
        <f t="shared" si="13"/>
        <v>-1.922291788142503E-12</v>
      </c>
      <c r="C158" s="214">
        <f>IF(ROUND(Tableau3626[[#This Row],[Solde début période]],2)&lt;=0,0,$D$2)</f>
        <v>0</v>
      </c>
      <c r="D158" s="214">
        <f t="shared" si="10"/>
        <v>-7.2085942055343853E-15</v>
      </c>
      <c r="E158" s="214">
        <f t="shared" si="11"/>
        <v>7.2085942055343853E-15</v>
      </c>
      <c r="F158" s="213">
        <f t="shared" si="12"/>
        <v>-1.9295003823480373E-12</v>
      </c>
    </row>
    <row r="159" spans="1:6" x14ac:dyDescent="0.25">
      <c r="A159" s="226">
        <f t="shared" si="14"/>
        <v>48488</v>
      </c>
      <c r="B159" s="213">
        <f t="shared" si="13"/>
        <v>-1.9295003823480373E-12</v>
      </c>
      <c r="C159" s="214">
        <f>IF(ROUND(Tableau3626[[#This Row],[Solde début période]],2)&lt;=0,0,$D$2)</f>
        <v>0</v>
      </c>
      <c r="D159" s="214">
        <f t="shared" si="10"/>
        <v>-7.2356264338051395E-15</v>
      </c>
      <c r="E159" s="214">
        <f t="shared" si="11"/>
        <v>7.2356264338051395E-15</v>
      </c>
      <c r="F159" s="213">
        <f t="shared" si="12"/>
        <v>-1.9367360087818423E-12</v>
      </c>
    </row>
    <row r="160" spans="1:6" x14ac:dyDescent="0.25">
      <c r="A160" s="226">
        <f t="shared" si="14"/>
        <v>48519</v>
      </c>
      <c r="B160" s="213">
        <f t="shared" si="13"/>
        <v>-1.9367360087818423E-12</v>
      </c>
      <c r="C160" s="214">
        <f>IF(ROUND(Tableau3626[[#This Row],[Solde début période]],2)&lt;=0,0,$D$2)</f>
        <v>0</v>
      </c>
      <c r="D160" s="214">
        <f t="shared" si="10"/>
        <v>-7.2627600329319078E-15</v>
      </c>
      <c r="E160" s="214">
        <f t="shared" si="11"/>
        <v>7.2627600329319078E-15</v>
      </c>
      <c r="F160" s="213">
        <f t="shared" si="12"/>
        <v>-1.9439987688147742E-12</v>
      </c>
    </row>
    <row r="161" spans="1:6" x14ac:dyDescent="0.25">
      <c r="A161" s="226">
        <f t="shared" si="14"/>
        <v>48549</v>
      </c>
      <c r="B161" s="213">
        <f t="shared" si="13"/>
        <v>-1.9439987688147742E-12</v>
      </c>
      <c r="C161" s="214">
        <f>IF(ROUND(Tableau3626[[#This Row],[Solde début période]],2)&lt;=0,0,$D$2)</f>
        <v>0</v>
      </c>
      <c r="D161" s="214">
        <f t="shared" si="10"/>
        <v>-7.2899953830554024E-15</v>
      </c>
      <c r="E161" s="214">
        <f t="shared" si="11"/>
        <v>7.2899953830554024E-15</v>
      </c>
      <c r="F161" s="213">
        <f t="shared" si="12"/>
        <v>-1.9512887641978298E-12</v>
      </c>
    </row>
    <row r="162" spans="1:6" x14ac:dyDescent="0.25">
      <c r="A162" s="226">
        <f t="shared" si="14"/>
        <v>48580</v>
      </c>
      <c r="B162" s="213">
        <f t="shared" si="13"/>
        <v>-1.9512887641978298E-12</v>
      </c>
      <c r="C162" s="214">
        <f>IF(ROUND(Tableau3626[[#This Row],[Solde début période]],2)&lt;=0,0,$D$2)</f>
        <v>0</v>
      </c>
      <c r="D162" s="214">
        <f t="shared" si="10"/>
        <v>-7.317332865741861E-15</v>
      </c>
      <c r="E162" s="214">
        <f t="shared" si="11"/>
        <v>7.317332865741861E-15</v>
      </c>
      <c r="F162" s="213">
        <f t="shared" si="12"/>
        <v>-1.9586060970635715E-12</v>
      </c>
    </row>
    <row r="163" spans="1:6" x14ac:dyDescent="0.25">
      <c r="A163" s="226">
        <f t="shared" si="14"/>
        <v>48611</v>
      </c>
      <c r="B163" s="213">
        <f t="shared" si="13"/>
        <v>-1.9586060970635715E-12</v>
      </c>
      <c r="C163" s="214">
        <f>IF(ROUND(Tableau3626[[#This Row],[Solde début période]],2)&lt;=0,0,$D$2)</f>
        <v>0</v>
      </c>
      <c r="D163" s="214">
        <f t="shared" si="10"/>
        <v>-7.3447728639883931E-15</v>
      </c>
      <c r="E163" s="214">
        <f t="shared" si="11"/>
        <v>7.3447728639883931E-15</v>
      </c>
      <c r="F163" s="213">
        <f t="shared" si="12"/>
        <v>-1.9659508699275599E-12</v>
      </c>
    </row>
    <row r="164" spans="1:6" x14ac:dyDescent="0.25">
      <c r="A164" s="226">
        <f t="shared" si="14"/>
        <v>48639</v>
      </c>
      <c r="B164" s="213">
        <f t="shared" si="13"/>
        <v>-1.9659508699275599E-12</v>
      </c>
      <c r="C164" s="214">
        <f>IF(ROUND(Tableau3626[[#This Row],[Solde début période]],2)&lt;=0,0,$D$2)</f>
        <v>0</v>
      </c>
      <c r="D164" s="214">
        <f t="shared" si="10"/>
        <v>-7.3723157622283497E-15</v>
      </c>
      <c r="E164" s="214">
        <f t="shared" si="11"/>
        <v>7.3723157622283497E-15</v>
      </c>
      <c r="F164" s="213">
        <f t="shared" si="12"/>
        <v>-1.9733231856897881E-12</v>
      </c>
    </row>
    <row r="165" spans="1:6" x14ac:dyDescent="0.25">
      <c r="A165" s="226">
        <f t="shared" si="14"/>
        <v>48670</v>
      </c>
      <c r="B165" s="213">
        <f t="shared" si="13"/>
        <v>-1.9733231856897881E-12</v>
      </c>
      <c r="C165" s="214">
        <f>IF(ROUND(Tableau3626[[#This Row],[Solde début période]],2)&lt;=0,0,$D$2)</f>
        <v>0</v>
      </c>
      <c r="D165" s="214">
        <f t="shared" si="10"/>
        <v>-7.3999619463367044E-15</v>
      </c>
      <c r="E165" s="214">
        <f t="shared" si="11"/>
        <v>7.3999619463367044E-15</v>
      </c>
      <c r="F165" s="213">
        <f t="shared" si="12"/>
        <v>-1.9807231476361249E-12</v>
      </c>
    </row>
    <row r="166" spans="1:6" x14ac:dyDescent="0.25">
      <c r="A166" s="226">
        <f t="shared" si="14"/>
        <v>48700</v>
      </c>
      <c r="B166" s="213">
        <f t="shared" si="13"/>
        <v>-1.9807231476361249E-12</v>
      </c>
      <c r="C166" s="214">
        <f>IF(ROUND(Tableau3626[[#This Row],[Solde début période]],2)&lt;=0,0,$D$2)</f>
        <v>0</v>
      </c>
      <c r="D166" s="214">
        <f t="shared" si="10"/>
        <v>-7.4277118036354685E-15</v>
      </c>
      <c r="E166" s="214">
        <f t="shared" si="11"/>
        <v>7.4277118036354685E-15</v>
      </c>
      <c r="F166" s="213">
        <f t="shared" si="12"/>
        <v>-1.9881508594397604E-12</v>
      </c>
    </row>
    <row r="167" spans="1:6" x14ac:dyDescent="0.25">
      <c r="A167" s="226">
        <f t="shared" si="14"/>
        <v>48731</v>
      </c>
      <c r="B167" s="213">
        <f t="shared" si="13"/>
        <v>-1.9881508594397604E-12</v>
      </c>
      <c r="C167" s="214">
        <f>IF(ROUND(Tableau3626[[#This Row],[Solde début période]],2)&lt;=0,0,$D$2)</f>
        <v>0</v>
      </c>
      <c r="D167" s="214">
        <f t="shared" si="10"/>
        <v>-7.4555657228991007E-15</v>
      </c>
      <c r="E167" s="214">
        <f t="shared" si="11"/>
        <v>7.4555657228991007E-15</v>
      </c>
      <c r="F167" s="213">
        <f t="shared" si="12"/>
        <v>-1.9956064251626595E-12</v>
      </c>
    </row>
    <row r="168" spans="1:6" x14ac:dyDescent="0.25">
      <c r="A168" s="226">
        <f t="shared" si="14"/>
        <v>48761</v>
      </c>
      <c r="B168" s="213">
        <f t="shared" si="13"/>
        <v>-1.9956064251626595E-12</v>
      </c>
      <c r="C168" s="214">
        <f>IF(ROUND(Tableau3626[[#This Row],[Solde début période]],2)&lt;=0,0,$D$2)</f>
        <v>0</v>
      </c>
      <c r="D168" s="214">
        <f t="shared" si="10"/>
        <v>-7.4835240943599725E-15</v>
      </c>
      <c r="E168" s="214">
        <f t="shared" si="11"/>
        <v>7.4835240943599725E-15</v>
      </c>
      <c r="F168" s="213">
        <f t="shared" si="12"/>
        <v>-2.0030899492570194E-12</v>
      </c>
    </row>
    <row r="169" spans="1:6" x14ac:dyDescent="0.25">
      <c r="A169" s="226">
        <f t="shared" si="14"/>
        <v>48792</v>
      </c>
      <c r="B169" s="213">
        <f t="shared" si="13"/>
        <v>-2.0030899492570194E-12</v>
      </c>
      <c r="C169" s="214">
        <f>IF(ROUND(Tableau3626[[#This Row],[Solde début période]],2)&lt;=0,0,$D$2)</f>
        <v>0</v>
      </c>
      <c r="D169" s="214">
        <f t="shared" si="10"/>
        <v>-7.5115873097138225E-15</v>
      </c>
      <c r="E169" s="214">
        <f t="shared" si="11"/>
        <v>7.5115873097138225E-15</v>
      </c>
      <c r="F169" s="213">
        <f t="shared" si="12"/>
        <v>-2.0106015365667331E-12</v>
      </c>
    </row>
    <row r="170" spans="1:6" x14ac:dyDescent="0.25">
      <c r="A170" s="226">
        <f t="shared" si="14"/>
        <v>48823</v>
      </c>
      <c r="B170" s="213">
        <f t="shared" si="13"/>
        <v>-2.0106015365667331E-12</v>
      </c>
      <c r="C170" s="214">
        <f>IF(ROUND(Tableau3626[[#This Row],[Solde début période]],2)&lt;=0,0,$D$2)</f>
        <v>0</v>
      </c>
      <c r="D170" s="214">
        <f t="shared" si="10"/>
        <v>-7.5397557621252481E-15</v>
      </c>
      <c r="E170" s="214">
        <f t="shared" si="11"/>
        <v>7.5397557621252481E-15</v>
      </c>
      <c r="F170" s="213">
        <f t="shared" si="12"/>
        <v>-2.0181412923288583E-12</v>
      </c>
    </row>
    <row r="171" spans="1:6" x14ac:dyDescent="0.25">
      <c r="A171" s="226">
        <f t="shared" si="14"/>
        <v>48853</v>
      </c>
      <c r="B171" s="213">
        <f t="shared" si="13"/>
        <v>-2.0181412923288583E-12</v>
      </c>
      <c r="C171" s="214">
        <f>IF(ROUND(Tableau3626[[#This Row],[Solde début période]],2)&lt;=0,0,$D$2)</f>
        <v>0</v>
      </c>
      <c r="D171" s="214">
        <f t="shared" si="10"/>
        <v>-7.5680298462332184E-15</v>
      </c>
      <c r="E171" s="214">
        <f t="shared" si="11"/>
        <v>7.5680298462332184E-15</v>
      </c>
      <c r="F171" s="213">
        <f t="shared" si="12"/>
        <v>-2.0257093221750916E-12</v>
      </c>
    </row>
    <row r="172" spans="1:6" x14ac:dyDescent="0.25">
      <c r="A172" s="226">
        <f t="shared" si="14"/>
        <v>48884</v>
      </c>
      <c r="B172" s="213">
        <f t="shared" si="13"/>
        <v>-2.0257093221750916E-12</v>
      </c>
      <c r="C172" s="214">
        <f>IF(ROUND(Tableau3626[[#This Row],[Solde début période]],2)&lt;=0,0,$D$2)</f>
        <v>0</v>
      </c>
      <c r="D172" s="214">
        <f t="shared" si="10"/>
        <v>-7.5964099581565929E-15</v>
      </c>
      <c r="E172" s="214">
        <f t="shared" si="11"/>
        <v>7.5964099581565929E-15</v>
      </c>
      <c r="F172" s="213">
        <f t="shared" si="12"/>
        <v>-2.0333057321332481E-12</v>
      </c>
    </row>
    <row r="173" spans="1:6" x14ac:dyDescent="0.25">
      <c r="A173" s="226">
        <f t="shared" si="14"/>
        <v>48914</v>
      </c>
      <c r="B173" s="213">
        <f t="shared" si="13"/>
        <v>-2.0333057321332481E-12</v>
      </c>
      <c r="C173" s="214">
        <f>IF(ROUND(Tableau3626[[#This Row],[Solde début période]],2)&lt;=0,0,$D$2)</f>
        <v>0</v>
      </c>
      <c r="D173" s="214">
        <f t="shared" si="10"/>
        <v>-7.6248964954996798E-15</v>
      </c>
      <c r="E173" s="214">
        <f t="shared" si="11"/>
        <v>7.6248964954996798E-15</v>
      </c>
      <c r="F173" s="213">
        <f t="shared" si="12"/>
        <v>-2.0409306286287479E-12</v>
      </c>
    </row>
    <row r="174" spans="1:6" x14ac:dyDescent="0.25">
      <c r="A174" s="226">
        <f t="shared" si="14"/>
        <v>48945</v>
      </c>
      <c r="B174" s="213">
        <f t="shared" si="13"/>
        <v>-2.0409306286287479E-12</v>
      </c>
      <c r="C174" s="214">
        <f>IF(ROUND(Tableau3626[[#This Row],[Solde début période]],2)&lt;=0,0,$D$2)</f>
        <v>0</v>
      </c>
      <c r="D174" s="214">
        <f t="shared" si="10"/>
        <v>-7.6534898573578039E-15</v>
      </c>
      <c r="E174" s="214">
        <f t="shared" si="11"/>
        <v>7.6534898573578039E-15</v>
      </c>
      <c r="F174" s="213">
        <f t="shared" si="12"/>
        <v>-2.0485841184861059E-12</v>
      </c>
    </row>
    <row r="175" spans="1:6" x14ac:dyDescent="0.25">
      <c r="A175" s="226">
        <f t="shared" si="14"/>
        <v>48976</v>
      </c>
      <c r="B175" s="213">
        <f t="shared" si="13"/>
        <v>-2.0485841184861059E-12</v>
      </c>
      <c r="C175" s="214">
        <f>IF(ROUND(Tableau3626[[#This Row],[Solde début période]],2)&lt;=0,0,$D$2)</f>
        <v>0</v>
      </c>
      <c r="D175" s="214">
        <f t="shared" si="10"/>
        <v>-7.6821904443228964E-15</v>
      </c>
      <c r="E175" s="214">
        <f t="shared" si="11"/>
        <v>7.6821904443228964E-15</v>
      </c>
      <c r="F175" s="213">
        <f t="shared" si="12"/>
        <v>-2.0562663089304289E-12</v>
      </c>
    </row>
    <row r="176" spans="1:6" x14ac:dyDescent="0.25">
      <c r="A176" s="226">
        <f t="shared" si="14"/>
        <v>49004</v>
      </c>
      <c r="B176" s="213">
        <f t="shared" si="13"/>
        <v>-2.0562663089304289E-12</v>
      </c>
      <c r="C176" s="214">
        <f>IF(ROUND(Tableau3626[[#This Row],[Solde début période]],2)&lt;=0,0,$D$2)</f>
        <v>0</v>
      </c>
      <c r="D176" s="214">
        <f t="shared" si="10"/>
        <v>-7.7109986584891084E-15</v>
      </c>
      <c r="E176" s="214">
        <f t="shared" si="11"/>
        <v>7.7109986584891084E-15</v>
      </c>
      <c r="F176" s="213">
        <f t="shared" si="12"/>
        <v>-2.063977307588918E-12</v>
      </c>
    </row>
    <row r="177" spans="1:6" x14ac:dyDescent="0.25">
      <c r="A177" s="226">
        <f t="shared" si="14"/>
        <v>49035</v>
      </c>
      <c r="B177" s="213">
        <f t="shared" si="13"/>
        <v>-2.063977307588918E-12</v>
      </c>
      <c r="C177" s="214">
        <f>IF(ROUND(Tableau3626[[#This Row],[Solde début période]],2)&lt;=0,0,$D$2)</f>
        <v>0</v>
      </c>
      <c r="D177" s="214">
        <f t="shared" si="10"/>
        <v>-7.7399149034584418E-15</v>
      </c>
      <c r="E177" s="214">
        <f t="shared" si="11"/>
        <v>7.7399149034584418E-15</v>
      </c>
      <c r="F177" s="213">
        <f t="shared" si="12"/>
        <v>-2.0717172224923765E-12</v>
      </c>
    </row>
    <row r="178" spans="1:6" x14ac:dyDescent="0.25">
      <c r="A178" s="226">
        <f t="shared" si="14"/>
        <v>49065</v>
      </c>
      <c r="B178" s="213">
        <f t="shared" si="13"/>
        <v>-2.0717172224923765E-12</v>
      </c>
      <c r="C178" s="214">
        <f>IF(ROUND(Tableau3626[[#This Row],[Solde début période]],2)&lt;=0,0,$D$2)</f>
        <v>0</v>
      </c>
      <c r="D178" s="214">
        <f t="shared" si="10"/>
        <v>-7.7689395843464118E-15</v>
      </c>
      <c r="E178" s="214">
        <f t="shared" si="11"/>
        <v>7.7689395843464118E-15</v>
      </c>
      <c r="F178" s="213">
        <f t="shared" si="12"/>
        <v>-2.0794861620767229E-12</v>
      </c>
    </row>
    <row r="179" spans="1:6" x14ac:dyDescent="0.25">
      <c r="A179" s="226">
        <f t="shared" si="14"/>
        <v>49096</v>
      </c>
      <c r="B179" s="213">
        <f t="shared" si="13"/>
        <v>-2.0794861620767229E-12</v>
      </c>
      <c r="C179" s="214">
        <f>IF(ROUND(Tableau3626[[#This Row],[Solde début période]],2)&lt;=0,0,$D$2)</f>
        <v>0</v>
      </c>
      <c r="D179" s="214">
        <f t="shared" si="10"/>
        <v>-7.7980731077877109E-15</v>
      </c>
      <c r="E179" s="214">
        <f t="shared" si="11"/>
        <v>7.7980731077877109E-15</v>
      </c>
      <c r="F179" s="213">
        <f t="shared" si="12"/>
        <v>-2.0872842351845106E-12</v>
      </c>
    </row>
    <row r="180" spans="1:6" x14ac:dyDescent="0.25">
      <c r="A180" s="226">
        <f t="shared" si="14"/>
        <v>49126</v>
      </c>
      <c r="B180" s="213">
        <f t="shared" si="13"/>
        <v>-2.0872842351845106E-12</v>
      </c>
      <c r="C180" s="214">
        <f>IF(ROUND(Tableau3626[[#This Row],[Solde début période]],2)&lt;=0,0,$D$2)</f>
        <v>0</v>
      </c>
      <c r="D180" s="214">
        <f t="shared" si="10"/>
        <v>-7.8273158819419139E-15</v>
      </c>
      <c r="E180" s="214">
        <f t="shared" si="11"/>
        <v>7.8273158819419139E-15</v>
      </c>
      <c r="F180" s="213">
        <f t="shared" si="12"/>
        <v>-2.0951115510664527E-12</v>
      </c>
    </row>
    <row r="181" spans="1:6" x14ac:dyDescent="0.25">
      <c r="A181" s="226">
        <f t="shared" si="14"/>
        <v>49157</v>
      </c>
      <c r="B181" s="213">
        <f t="shared" si="13"/>
        <v>-2.0951115510664527E-12</v>
      </c>
      <c r="C181" s="214">
        <f>IF(ROUND(Tableau3626[[#This Row],[Solde début période]],2)&lt;=0,0,$D$2)</f>
        <v>0</v>
      </c>
      <c r="D181" s="214">
        <f t="shared" si="10"/>
        <v>-7.8566683164991972E-15</v>
      </c>
      <c r="E181" s="214">
        <f t="shared" si="11"/>
        <v>7.8566683164991972E-15</v>
      </c>
      <c r="F181" s="213">
        <f t="shared" si="12"/>
        <v>-2.1029682193829518E-12</v>
      </c>
    </row>
    <row r="182" spans="1:6" x14ac:dyDescent="0.25">
      <c r="A182" s="226">
        <f t="shared" si="14"/>
        <v>49188</v>
      </c>
      <c r="B182" s="213">
        <f t="shared" si="13"/>
        <v>-2.1029682193829518E-12</v>
      </c>
      <c r="C182" s="214">
        <f>IF(ROUND(Tableau3626[[#This Row],[Solde début période]],2)&lt;=0,0,$D$2)</f>
        <v>0</v>
      </c>
      <c r="D182" s="214">
        <f t="shared" si="10"/>
        <v>-7.8861308226860691E-15</v>
      </c>
      <c r="E182" s="214">
        <f t="shared" si="11"/>
        <v>7.8861308226860691E-15</v>
      </c>
      <c r="F182" s="213">
        <f t="shared" si="12"/>
        <v>-2.1108543502056377E-12</v>
      </c>
    </row>
    <row r="183" spans="1:6" x14ac:dyDescent="0.25">
      <c r="A183" s="226">
        <f t="shared" si="14"/>
        <v>49218</v>
      </c>
      <c r="B183" s="213">
        <f t="shared" si="13"/>
        <v>-2.1108543502056377E-12</v>
      </c>
      <c r="C183" s="214">
        <f>IF(ROUND(Tableau3626[[#This Row],[Solde début période]],2)&lt;=0,0,$D$2)</f>
        <v>0</v>
      </c>
      <c r="D183" s="214">
        <f t="shared" si="10"/>
        <v>-7.9157038132711408E-15</v>
      </c>
      <c r="E183" s="214">
        <f t="shared" si="11"/>
        <v>7.9157038132711408E-15</v>
      </c>
      <c r="F183" s="213">
        <f t="shared" si="12"/>
        <v>-2.118770054018909E-12</v>
      </c>
    </row>
    <row r="184" spans="1:6" x14ac:dyDescent="0.25">
      <c r="A184" s="226">
        <f t="shared" si="14"/>
        <v>49249</v>
      </c>
      <c r="B184" s="213">
        <f t="shared" si="13"/>
        <v>-2.118770054018909E-12</v>
      </c>
      <c r="C184" s="214">
        <f>IF(ROUND(Tableau3626[[#This Row],[Solde début période]],2)&lt;=0,0,$D$2)</f>
        <v>0</v>
      </c>
      <c r="D184" s="214">
        <f t="shared" si="10"/>
        <v>-7.9453877025709079E-15</v>
      </c>
      <c r="E184" s="214">
        <f t="shared" si="11"/>
        <v>7.9453877025709079E-15</v>
      </c>
      <c r="F184" s="213">
        <f t="shared" si="12"/>
        <v>-2.1267154417214797E-12</v>
      </c>
    </row>
    <row r="185" spans="1:6" x14ac:dyDescent="0.25">
      <c r="A185" s="226">
        <f t="shared" si="14"/>
        <v>49279</v>
      </c>
      <c r="B185" s="213">
        <f t="shared" si="13"/>
        <v>-2.1267154417214797E-12</v>
      </c>
      <c r="C185" s="214">
        <f>IF(ROUND(Tableau3626[[#This Row],[Solde début période]],2)&lt;=0,0,$D$2)</f>
        <v>0</v>
      </c>
      <c r="D185" s="214">
        <f t="shared" si="10"/>
        <v>-7.9751829064555492E-15</v>
      </c>
      <c r="E185" s="214">
        <f t="shared" si="11"/>
        <v>7.9751829064555492E-15</v>
      </c>
      <c r="F185" s="213">
        <f t="shared" si="12"/>
        <v>-2.1346906246279352E-12</v>
      </c>
    </row>
    <row r="186" spans="1:6" x14ac:dyDescent="0.25">
      <c r="A186" s="226">
        <f t="shared" si="14"/>
        <v>49310</v>
      </c>
      <c r="B186" s="213">
        <f t="shared" si="13"/>
        <v>-2.1346906246279352E-12</v>
      </c>
      <c r="C186" s="214">
        <f>IF(ROUND(Tableau3626[[#This Row],[Solde début période]],2)&lt;=0,0,$D$2)</f>
        <v>0</v>
      </c>
      <c r="D186" s="214">
        <f t="shared" si="10"/>
        <v>-8.005089842354757E-15</v>
      </c>
      <c r="E186" s="214">
        <f t="shared" si="11"/>
        <v>8.005089842354757E-15</v>
      </c>
      <c r="F186" s="213">
        <f t="shared" si="12"/>
        <v>-2.1426957144702898E-12</v>
      </c>
    </row>
    <row r="187" spans="1:6" x14ac:dyDescent="0.25">
      <c r="A187" s="226">
        <f t="shared" si="14"/>
        <v>49341</v>
      </c>
      <c r="B187" s="213">
        <f t="shared" si="13"/>
        <v>-2.1426957144702898E-12</v>
      </c>
      <c r="C187" s="214">
        <f>IF(ROUND(Tableau3626[[#This Row],[Solde début période]],2)&lt;=0,0,$D$2)</f>
        <v>0</v>
      </c>
      <c r="D187" s="214">
        <f t="shared" si="10"/>
        <v>-8.0351089292635856E-15</v>
      </c>
      <c r="E187" s="214">
        <f t="shared" si="11"/>
        <v>8.0351089292635856E-15</v>
      </c>
      <c r="F187" s="213">
        <f t="shared" si="12"/>
        <v>-2.1507308233995535E-12</v>
      </c>
    </row>
    <row r="188" spans="1:6" x14ac:dyDescent="0.25">
      <c r="A188" s="226">
        <f t="shared" si="14"/>
        <v>49369</v>
      </c>
      <c r="B188" s="213">
        <f t="shared" si="13"/>
        <v>-2.1507308233995535E-12</v>
      </c>
      <c r="C188" s="214">
        <f>IF(ROUND(Tableau3626[[#This Row],[Solde début période]],2)&lt;=0,0,$D$2)</f>
        <v>0</v>
      </c>
      <c r="D188" s="214">
        <f t="shared" si="10"/>
        <v>-8.0652405877483251E-15</v>
      </c>
      <c r="E188" s="214">
        <f t="shared" si="11"/>
        <v>8.0652405877483251E-15</v>
      </c>
      <c r="F188" s="213">
        <f t="shared" si="12"/>
        <v>-2.1587960639873016E-12</v>
      </c>
    </row>
    <row r="189" spans="1:6" x14ac:dyDescent="0.25">
      <c r="A189" s="226">
        <f t="shared" si="14"/>
        <v>49400</v>
      </c>
      <c r="B189" s="213">
        <f t="shared" si="13"/>
        <v>-2.1587960639873016E-12</v>
      </c>
      <c r="C189" s="214">
        <f>IF(ROUND(Tableau3626[[#This Row],[Solde début période]],2)&lt;=0,0,$D$2)</f>
        <v>0</v>
      </c>
      <c r="D189" s="214">
        <f t="shared" si="10"/>
        <v>-8.0954852399523814E-15</v>
      </c>
      <c r="E189" s="214">
        <f t="shared" si="11"/>
        <v>8.0954852399523814E-15</v>
      </c>
      <c r="F189" s="213">
        <f t="shared" si="12"/>
        <v>-2.1668915492272541E-12</v>
      </c>
    </row>
    <row r="190" spans="1:6" x14ac:dyDescent="0.25">
      <c r="A190" s="226">
        <f t="shared" si="14"/>
        <v>49430</v>
      </c>
      <c r="B190" s="213">
        <f t="shared" si="13"/>
        <v>-2.1668915492272541E-12</v>
      </c>
      <c r="C190" s="214">
        <f>IF(ROUND(Tableau3626[[#This Row],[Solde début période]],2)&lt;=0,0,$D$2)</f>
        <v>0</v>
      </c>
      <c r="D190" s="214">
        <f t="shared" si="10"/>
        <v>-8.1258433096022024E-15</v>
      </c>
      <c r="E190" s="214">
        <f t="shared" si="11"/>
        <v>8.1258433096022024E-15</v>
      </c>
      <c r="F190" s="213">
        <f t="shared" si="12"/>
        <v>-2.1750173925368565E-12</v>
      </c>
    </row>
    <row r="191" spans="1:6" x14ac:dyDescent="0.25">
      <c r="A191" s="226">
        <f t="shared" si="14"/>
        <v>49461</v>
      </c>
      <c r="B191" s="213">
        <f t="shared" si="13"/>
        <v>-2.1750173925368565E-12</v>
      </c>
      <c r="C191" s="214">
        <f>IF(ROUND(Tableau3626[[#This Row],[Solde début période]],2)&lt;=0,0,$D$2)</f>
        <v>0</v>
      </c>
      <c r="D191" s="214">
        <f t="shared" si="10"/>
        <v>-8.1563152220132117E-15</v>
      </c>
      <c r="E191" s="214">
        <f t="shared" si="11"/>
        <v>8.1563152220132117E-15</v>
      </c>
      <c r="F191" s="213">
        <f t="shared" si="12"/>
        <v>-2.1831737077588697E-12</v>
      </c>
    </row>
    <row r="192" spans="1:6" x14ac:dyDescent="0.25">
      <c r="A192" s="226">
        <f t="shared" si="14"/>
        <v>49491</v>
      </c>
      <c r="B192" s="213">
        <f t="shared" si="13"/>
        <v>-2.1831737077588697E-12</v>
      </c>
      <c r="C192" s="214">
        <f>IF(ROUND(Tableau3626[[#This Row],[Solde début période]],2)&lt;=0,0,$D$2)</f>
        <v>0</v>
      </c>
      <c r="D192" s="214">
        <f t="shared" si="10"/>
        <v>-8.1869014040957614E-15</v>
      </c>
      <c r="E192" s="214">
        <f t="shared" si="11"/>
        <v>8.1869014040957614E-15</v>
      </c>
      <c r="F192" s="213">
        <f t="shared" si="12"/>
        <v>-2.1913606091629656E-12</v>
      </c>
    </row>
    <row r="193" spans="1:6" x14ac:dyDescent="0.25">
      <c r="A193" s="226">
        <f t="shared" si="14"/>
        <v>49522</v>
      </c>
      <c r="B193" s="213">
        <f t="shared" si="13"/>
        <v>-2.1913606091629656E-12</v>
      </c>
      <c r="C193" s="214">
        <f>IF(ROUND(Tableau3626[[#This Row],[Solde début période]],2)&lt;=0,0,$D$2)</f>
        <v>0</v>
      </c>
      <c r="D193" s="214">
        <f t="shared" si="10"/>
        <v>-8.2176022843611209E-15</v>
      </c>
      <c r="E193" s="214">
        <f t="shared" si="11"/>
        <v>8.2176022843611209E-15</v>
      </c>
      <c r="F193" s="213">
        <f t="shared" si="12"/>
        <v>-2.1995782114473266E-12</v>
      </c>
    </row>
    <row r="194" spans="1:6" x14ac:dyDescent="0.25">
      <c r="A194" s="226">
        <f t="shared" si="14"/>
        <v>49553</v>
      </c>
      <c r="B194" s="213">
        <f t="shared" si="13"/>
        <v>-2.1995782114473266E-12</v>
      </c>
      <c r="C194" s="214">
        <f>IF(ROUND(Tableau3626[[#This Row],[Solde début période]],2)&lt;=0,0,$D$2)</f>
        <v>0</v>
      </c>
      <c r="D194" s="214">
        <f t="shared" si="10"/>
        <v>-8.2484182929274742E-15</v>
      </c>
      <c r="E194" s="214">
        <f t="shared" si="11"/>
        <v>8.2484182929274742E-15</v>
      </c>
      <c r="F194" s="213">
        <f t="shared" si="12"/>
        <v>-2.2078266297402542E-12</v>
      </c>
    </row>
    <row r="195" spans="1:6" x14ac:dyDescent="0.25">
      <c r="A195" s="226">
        <f t="shared" si="14"/>
        <v>49583</v>
      </c>
      <c r="B195" s="213">
        <f t="shared" si="13"/>
        <v>-2.2078266297402542E-12</v>
      </c>
      <c r="C195" s="214">
        <f>IF(ROUND(Tableau3626[[#This Row],[Solde début période]],2)&lt;=0,0,$D$2)</f>
        <v>0</v>
      </c>
      <c r="D195" s="214">
        <f t="shared" si="10"/>
        <v>-8.2793498615259528E-15</v>
      </c>
      <c r="E195" s="214">
        <f t="shared" si="11"/>
        <v>8.2793498615259528E-15</v>
      </c>
      <c r="F195" s="213">
        <f t="shared" si="12"/>
        <v>-2.2161059796017803E-12</v>
      </c>
    </row>
    <row r="196" spans="1:6" x14ac:dyDescent="0.25">
      <c r="A196" s="226">
        <f t="shared" si="14"/>
        <v>49614</v>
      </c>
      <c r="B196" s="213">
        <f t="shared" si="13"/>
        <v>-2.2161059796017803E-12</v>
      </c>
      <c r="C196" s="214">
        <f>IF(ROUND(Tableau3626[[#This Row],[Solde début période]],2)&lt;=0,0,$D$2)</f>
        <v>0</v>
      </c>
      <c r="D196" s="214">
        <f t="shared" si="10"/>
        <v>-8.3103974235066752E-15</v>
      </c>
      <c r="E196" s="214">
        <f t="shared" si="11"/>
        <v>8.3103974235066752E-15</v>
      </c>
      <c r="F196" s="213">
        <f t="shared" si="12"/>
        <v>-2.224416377025287E-12</v>
      </c>
    </row>
    <row r="197" spans="1:6" x14ac:dyDescent="0.25">
      <c r="A197" s="226">
        <f t="shared" si="14"/>
        <v>49644</v>
      </c>
      <c r="B197" s="213">
        <f t="shared" si="13"/>
        <v>-2.224416377025287E-12</v>
      </c>
      <c r="C197" s="214">
        <f>IF(ROUND(Tableau3626[[#This Row],[Solde début période]],2)&lt;=0,0,$D$2)</f>
        <v>0</v>
      </c>
      <c r="D197" s="214">
        <f t="shared" si="10"/>
        <v>-8.3415614138448264E-15</v>
      </c>
      <c r="E197" s="214">
        <f t="shared" si="11"/>
        <v>8.3415614138448264E-15</v>
      </c>
      <c r="F197" s="213">
        <f t="shared" si="12"/>
        <v>-2.2327579384391318E-12</v>
      </c>
    </row>
    <row r="198" spans="1:6" x14ac:dyDescent="0.25">
      <c r="A198" s="226">
        <f t="shared" si="14"/>
        <v>49675</v>
      </c>
      <c r="B198" s="213">
        <f t="shared" si="13"/>
        <v>-2.2327579384391318E-12</v>
      </c>
      <c r="C198" s="214">
        <f>IF(ROUND(Tableau3626[[#This Row],[Solde début période]],2)&lt;=0,0,$D$2)</f>
        <v>0</v>
      </c>
      <c r="D198" s="214">
        <f t="shared" ref="D198:D261" si="15">B198*($B$2/12)</f>
        <v>-8.3728422691467438E-15</v>
      </c>
      <c r="E198" s="214">
        <f t="shared" ref="E198:E261" si="16">C198-D198</f>
        <v>8.3728422691467438E-15</v>
      </c>
      <c r="F198" s="213">
        <f t="shared" ref="F198:F261" si="17">B198-E198</f>
        <v>-2.2411307807082787E-12</v>
      </c>
    </row>
    <row r="199" spans="1:6" x14ac:dyDescent="0.25">
      <c r="A199" s="226">
        <f t="shared" si="14"/>
        <v>49706</v>
      </c>
      <c r="B199" s="213">
        <f t="shared" ref="B199:B262" si="18">F198</f>
        <v>-2.2411307807082787E-12</v>
      </c>
      <c r="C199" s="214">
        <f>IF(ROUND(Tableau3626[[#This Row],[Solde début période]],2)&lt;=0,0,$D$2)</f>
        <v>0</v>
      </c>
      <c r="D199" s="214">
        <f t="shared" si="15"/>
        <v>-8.4042404276560444E-15</v>
      </c>
      <c r="E199" s="214">
        <f t="shared" si="16"/>
        <v>8.4042404276560444E-15</v>
      </c>
      <c r="F199" s="213">
        <f t="shared" si="17"/>
        <v>-2.2495350211359349E-12</v>
      </c>
    </row>
    <row r="200" spans="1:6" x14ac:dyDescent="0.25">
      <c r="A200" s="226">
        <f t="shared" ref="A200:A263" si="19">EDATE(A199,1)</f>
        <v>49735</v>
      </c>
      <c r="B200" s="213">
        <f t="shared" si="18"/>
        <v>-2.2495350211359349E-12</v>
      </c>
      <c r="C200" s="214">
        <f>IF(ROUND(Tableau3626[[#This Row],[Solde début période]],2)&lt;=0,0,$D$2)</f>
        <v>0</v>
      </c>
      <c r="D200" s="214">
        <f t="shared" si="15"/>
        <v>-8.4357563292597553E-15</v>
      </c>
      <c r="E200" s="214">
        <f t="shared" si="16"/>
        <v>8.4357563292597553E-15</v>
      </c>
      <c r="F200" s="213">
        <f t="shared" si="17"/>
        <v>-2.2579707774651945E-12</v>
      </c>
    </row>
    <row r="201" spans="1:6" x14ac:dyDescent="0.25">
      <c r="A201" s="226">
        <f t="shared" si="19"/>
        <v>49766</v>
      </c>
      <c r="B201" s="213">
        <f t="shared" si="18"/>
        <v>-2.2579707774651945E-12</v>
      </c>
      <c r="C201" s="214">
        <f>IF(ROUND(Tableau3626[[#This Row],[Solde début période]],2)&lt;=0,0,$D$2)</f>
        <v>0</v>
      </c>
      <c r="D201" s="214">
        <f t="shared" si="15"/>
        <v>-8.4673904154944798E-15</v>
      </c>
      <c r="E201" s="214">
        <f t="shared" si="16"/>
        <v>8.4673904154944798E-15</v>
      </c>
      <c r="F201" s="213">
        <f t="shared" si="17"/>
        <v>-2.2664381678806891E-12</v>
      </c>
    </row>
    <row r="202" spans="1:6" x14ac:dyDescent="0.25">
      <c r="A202" s="226">
        <f t="shared" si="19"/>
        <v>49796</v>
      </c>
      <c r="B202" s="213">
        <f t="shared" si="18"/>
        <v>-2.2664381678806891E-12</v>
      </c>
      <c r="C202" s="214">
        <f>IF(ROUND(Tableau3626[[#This Row],[Solde début période]],2)&lt;=0,0,$D$2)</f>
        <v>0</v>
      </c>
      <c r="D202" s="214">
        <f t="shared" si="15"/>
        <v>-8.4991431295525831E-15</v>
      </c>
      <c r="E202" s="214">
        <f t="shared" si="16"/>
        <v>8.4991431295525831E-15</v>
      </c>
      <c r="F202" s="213">
        <f t="shared" si="17"/>
        <v>-2.2749373110102417E-12</v>
      </c>
    </row>
    <row r="203" spans="1:6" x14ac:dyDescent="0.25">
      <c r="A203" s="226">
        <f t="shared" si="19"/>
        <v>49827</v>
      </c>
      <c r="B203" s="213">
        <f t="shared" si="18"/>
        <v>-2.2749373110102417E-12</v>
      </c>
      <c r="C203" s="214">
        <f>IF(ROUND(Tableau3626[[#This Row],[Solde début période]],2)&lt;=0,0,$D$2)</f>
        <v>0</v>
      </c>
      <c r="D203" s="214">
        <f t="shared" si="15"/>
        <v>-8.5310149162884059E-15</v>
      </c>
      <c r="E203" s="214">
        <f t="shared" si="16"/>
        <v>8.5310149162884059E-15</v>
      </c>
      <c r="F203" s="213">
        <f t="shared" si="17"/>
        <v>-2.2834683259265299E-12</v>
      </c>
    </row>
    <row r="204" spans="1:6" x14ac:dyDescent="0.25">
      <c r="A204" s="226">
        <f t="shared" si="19"/>
        <v>49857</v>
      </c>
      <c r="B204" s="213">
        <f t="shared" si="18"/>
        <v>-2.2834683259265299E-12</v>
      </c>
      <c r="C204" s="214">
        <f>IF(ROUND(Tableau3626[[#This Row],[Solde début période]],2)&lt;=0,0,$D$2)</f>
        <v>0</v>
      </c>
      <c r="D204" s="214">
        <f t="shared" si="15"/>
        <v>-8.5630062222244869E-15</v>
      </c>
      <c r="E204" s="214">
        <f t="shared" si="16"/>
        <v>8.5630062222244869E-15</v>
      </c>
      <c r="F204" s="213">
        <f t="shared" si="17"/>
        <v>-2.2920313321487544E-12</v>
      </c>
    </row>
    <row r="205" spans="1:6" x14ac:dyDescent="0.25">
      <c r="A205" s="226">
        <f t="shared" si="19"/>
        <v>49888</v>
      </c>
      <c r="B205" s="213">
        <f t="shared" si="18"/>
        <v>-2.2920313321487544E-12</v>
      </c>
      <c r="C205" s="214">
        <f>IF(ROUND(Tableau3626[[#This Row],[Solde début période]],2)&lt;=0,0,$D$2)</f>
        <v>0</v>
      </c>
      <c r="D205" s="214">
        <f t="shared" si="15"/>
        <v>-8.5951174955578292E-15</v>
      </c>
      <c r="E205" s="214">
        <f t="shared" si="16"/>
        <v>8.5951174955578292E-15</v>
      </c>
      <c r="F205" s="213">
        <f t="shared" si="17"/>
        <v>-2.3006264496443124E-12</v>
      </c>
    </row>
    <row r="206" spans="1:6" x14ac:dyDescent="0.25">
      <c r="A206" s="226">
        <f t="shared" si="19"/>
        <v>49919</v>
      </c>
      <c r="B206" s="213">
        <f t="shared" si="18"/>
        <v>-2.3006264496443124E-12</v>
      </c>
      <c r="C206" s="214">
        <f>IF(ROUND(Tableau3626[[#This Row],[Solde début période]],2)&lt;=0,0,$D$2)</f>
        <v>0</v>
      </c>
      <c r="D206" s="214">
        <f t="shared" si="15"/>
        <v>-8.6273491861661717E-15</v>
      </c>
      <c r="E206" s="214">
        <f t="shared" si="16"/>
        <v>8.6273491861661717E-15</v>
      </c>
      <c r="F206" s="213">
        <f t="shared" si="17"/>
        <v>-2.3092537988304783E-12</v>
      </c>
    </row>
    <row r="207" spans="1:6" x14ac:dyDescent="0.25">
      <c r="A207" s="226">
        <f t="shared" si="19"/>
        <v>49949</v>
      </c>
      <c r="B207" s="213">
        <f t="shared" si="18"/>
        <v>-2.3092537988304783E-12</v>
      </c>
      <c r="C207" s="214">
        <f>IF(ROUND(Tableau3626[[#This Row],[Solde début période]],2)&lt;=0,0,$D$2)</f>
        <v>0</v>
      </c>
      <c r="D207" s="214">
        <f t="shared" si="15"/>
        <v>-8.6597017456142942E-15</v>
      </c>
      <c r="E207" s="214">
        <f t="shared" si="16"/>
        <v>8.6597017456142942E-15</v>
      </c>
      <c r="F207" s="213">
        <f t="shared" si="17"/>
        <v>-2.3179135005760927E-12</v>
      </c>
    </row>
    <row r="208" spans="1:6" x14ac:dyDescent="0.25">
      <c r="A208" s="226">
        <f t="shared" si="19"/>
        <v>49980</v>
      </c>
      <c r="B208" s="213">
        <f t="shared" si="18"/>
        <v>-2.3179135005760927E-12</v>
      </c>
      <c r="C208" s="214">
        <f>IF(ROUND(Tableau3626[[#This Row],[Solde début période]],2)&lt;=0,0,$D$2)</f>
        <v>0</v>
      </c>
      <c r="D208" s="214">
        <f t="shared" si="15"/>
        <v>-8.6921756271603468E-15</v>
      </c>
      <c r="E208" s="214">
        <f t="shared" si="16"/>
        <v>8.6921756271603468E-15</v>
      </c>
      <c r="F208" s="213">
        <f t="shared" si="17"/>
        <v>-2.3266056762032532E-12</v>
      </c>
    </row>
    <row r="209" spans="1:6" x14ac:dyDescent="0.25">
      <c r="A209" s="226">
        <f t="shared" si="19"/>
        <v>50010</v>
      </c>
      <c r="B209" s="213">
        <f t="shared" si="18"/>
        <v>-2.3266056762032532E-12</v>
      </c>
      <c r="C209" s="214">
        <f>IF(ROUND(Tableau3626[[#This Row],[Solde début période]],2)&lt;=0,0,$D$2)</f>
        <v>0</v>
      </c>
      <c r="D209" s="214">
        <f t="shared" si="15"/>
        <v>-8.7247712857621987E-15</v>
      </c>
      <c r="E209" s="214">
        <f t="shared" si="16"/>
        <v>8.7247712857621987E-15</v>
      </c>
      <c r="F209" s="213">
        <f t="shared" si="17"/>
        <v>-2.3353304474890155E-12</v>
      </c>
    </row>
    <row r="210" spans="1:6" x14ac:dyDescent="0.25">
      <c r="A210" s="226">
        <f t="shared" si="19"/>
        <v>50041</v>
      </c>
      <c r="B210" s="213">
        <f t="shared" si="18"/>
        <v>-2.3353304474890155E-12</v>
      </c>
      <c r="C210" s="214">
        <f>IF(ROUND(Tableau3626[[#This Row],[Solde début période]],2)&lt;=0,0,$D$2)</f>
        <v>0</v>
      </c>
      <c r="D210" s="214">
        <f t="shared" si="15"/>
        <v>-8.7574891780838075E-15</v>
      </c>
      <c r="E210" s="214">
        <f t="shared" si="16"/>
        <v>8.7574891780838075E-15</v>
      </c>
      <c r="F210" s="213">
        <f t="shared" si="17"/>
        <v>-2.3440879366670994E-12</v>
      </c>
    </row>
    <row r="211" spans="1:6" x14ac:dyDescent="0.25">
      <c r="A211" s="226">
        <f t="shared" si="19"/>
        <v>50072</v>
      </c>
      <c r="B211" s="213">
        <f t="shared" si="18"/>
        <v>-2.3440879366670994E-12</v>
      </c>
      <c r="C211" s="214">
        <f>IF(ROUND(Tableau3626[[#This Row],[Solde début période]],2)&lt;=0,0,$D$2)</f>
        <v>0</v>
      </c>
      <c r="D211" s="214">
        <f t="shared" si="15"/>
        <v>-8.7903297625016217E-15</v>
      </c>
      <c r="E211" s="214">
        <f t="shared" si="16"/>
        <v>8.7903297625016217E-15</v>
      </c>
      <c r="F211" s="213">
        <f t="shared" si="17"/>
        <v>-2.3528782664296008E-12</v>
      </c>
    </row>
    <row r="212" spans="1:6" x14ac:dyDescent="0.25">
      <c r="A212" s="226">
        <f t="shared" si="19"/>
        <v>50100</v>
      </c>
      <c r="B212" s="213">
        <f t="shared" si="18"/>
        <v>-2.3528782664296008E-12</v>
      </c>
      <c r="C212" s="214">
        <f>IF(ROUND(Tableau3626[[#This Row],[Solde début période]],2)&lt;=0,0,$D$2)</f>
        <v>0</v>
      </c>
      <c r="D212" s="214">
        <f t="shared" si="15"/>
        <v>-8.8232934991110035E-15</v>
      </c>
      <c r="E212" s="214">
        <f t="shared" si="16"/>
        <v>8.8232934991110035E-15</v>
      </c>
      <c r="F212" s="213">
        <f t="shared" si="17"/>
        <v>-2.3617015599287119E-12</v>
      </c>
    </row>
    <row r="213" spans="1:6" x14ac:dyDescent="0.25">
      <c r="A213" s="226">
        <f t="shared" si="19"/>
        <v>50131</v>
      </c>
      <c r="B213" s="213">
        <f t="shared" si="18"/>
        <v>-2.3617015599287119E-12</v>
      </c>
      <c r="C213" s="214">
        <f>IF(ROUND(Tableau3626[[#This Row],[Solde début période]],2)&lt;=0,0,$D$2)</f>
        <v>0</v>
      </c>
      <c r="D213" s="214">
        <f t="shared" si="15"/>
        <v>-8.8563808497326688E-15</v>
      </c>
      <c r="E213" s="214">
        <f t="shared" si="16"/>
        <v>8.8563808497326688E-15</v>
      </c>
      <c r="F213" s="213">
        <f t="shared" si="17"/>
        <v>-2.3705579407784447E-12</v>
      </c>
    </row>
    <row r="214" spans="1:6" x14ac:dyDescent="0.25">
      <c r="A214" s="226">
        <f t="shared" si="19"/>
        <v>50161</v>
      </c>
      <c r="B214" s="213">
        <f t="shared" si="18"/>
        <v>-2.3705579407784447E-12</v>
      </c>
      <c r="C214" s="214">
        <f>IF(ROUND(Tableau3626[[#This Row],[Solde début période]],2)&lt;=0,0,$D$2)</f>
        <v>0</v>
      </c>
      <c r="D214" s="214">
        <f t="shared" si="15"/>
        <v>-8.8895922779191677E-15</v>
      </c>
      <c r="E214" s="214">
        <f t="shared" si="16"/>
        <v>8.8895922779191677E-15</v>
      </c>
      <c r="F214" s="213">
        <f t="shared" si="17"/>
        <v>-2.3794475330563641E-12</v>
      </c>
    </row>
    <row r="215" spans="1:6" x14ac:dyDescent="0.25">
      <c r="A215" s="226">
        <f t="shared" si="19"/>
        <v>50192</v>
      </c>
      <c r="B215" s="213">
        <f t="shared" si="18"/>
        <v>-2.3794475330563641E-12</v>
      </c>
      <c r="C215" s="214">
        <f>IF(ROUND(Tableau3626[[#This Row],[Solde début période]],2)&lt;=0,0,$D$2)</f>
        <v>0</v>
      </c>
      <c r="D215" s="214">
        <f t="shared" si="15"/>
        <v>-8.9229282489613648E-15</v>
      </c>
      <c r="E215" s="214">
        <f t="shared" si="16"/>
        <v>8.9229282489613648E-15</v>
      </c>
      <c r="F215" s="213">
        <f t="shared" si="17"/>
        <v>-2.3883704613053255E-12</v>
      </c>
    </row>
    <row r="216" spans="1:6" x14ac:dyDescent="0.25">
      <c r="A216" s="226">
        <f t="shared" si="19"/>
        <v>50222</v>
      </c>
      <c r="B216" s="213">
        <f t="shared" si="18"/>
        <v>-2.3883704613053255E-12</v>
      </c>
      <c r="C216" s="214">
        <f>IF(ROUND(Tableau3626[[#This Row],[Solde début période]],2)&lt;=0,0,$D$2)</f>
        <v>0</v>
      </c>
      <c r="D216" s="214">
        <f t="shared" si="15"/>
        <v>-8.95638922989497E-15</v>
      </c>
      <c r="E216" s="214">
        <f t="shared" si="16"/>
        <v>8.95638922989497E-15</v>
      </c>
      <c r="F216" s="213">
        <f t="shared" si="17"/>
        <v>-2.3973268505352206E-12</v>
      </c>
    </row>
    <row r="217" spans="1:6" x14ac:dyDescent="0.25">
      <c r="A217" s="226">
        <f t="shared" si="19"/>
        <v>50253</v>
      </c>
      <c r="B217" s="213">
        <f t="shared" si="18"/>
        <v>-2.3973268505352206E-12</v>
      </c>
      <c r="C217" s="214">
        <f>IF(ROUND(Tableau3626[[#This Row],[Solde début période]],2)&lt;=0,0,$D$2)</f>
        <v>0</v>
      </c>
      <c r="D217" s="214">
        <f t="shared" si="15"/>
        <v>-8.9899756895070765E-15</v>
      </c>
      <c r="E217" s="214">
        <f t="shared" si="16"/>
        <v>8.9899756895070765E-15</v>
      </c>
      <c r="F217" s="213">
        <f t="shared" si="17"/>
        <v>-2.4063168262247277E-12</v>
      </c>
    </row>
    <row r="218" spans="1:6" x14ac:dyDescent="0.25">
      <c r="A218" s="226">
        <f t="shared" si="19"/>
        <v>50284</v>
      </c>
      <c r="B218" s="213">
        <f t="shared" si="18"/>
        <v>-2.4063168262247277E-12</v>
      </c>
      <c r="C218" s="214">
        <f>IF(ROUND(Tableau3626[[#This Row],[Solde début période]],2)&lt;=0,0,$D$2)</f>
        <v>0</v>
      </c>
      <c r="D218" s="214">
        <f t="shared" si="15"/>
        <v>-9.0236880983427287E-15</v>
      </c>
      <c r="E218" s="214">
        <f t="shared" si="16"/>
        <v>9.0236880983427287E-15</v>
      </c>
      <c r="F218" s="213">
        <f t="shared" si="17"/>
        <v>-2.4153405143230705E-12</v>
      </c>
    </row>
    <row r="219" spans="1:6" x14ac:dyDescent="0.25">
      <c r="A219" s="226">
        <f t="shared" si="19"/>
        <v>50314</v>
      </c>
      <c r="B219" s="213">
        <f t="shared" si="18"/>
        <v>-2.4153405143230705E-12</v>
      </c>
      <c r="C219" s="214">
        <f>IF(ROUND(Tableau3626[[#This Row],[Solde début période]],2)&lt;=0,0,$D$2)</f>
        <v>0</v>
      </c>
      <c r="D219" s="214">
        <f t="shared" si="15"/>
        <v>-9.0575269287115141E-15</v>
      </c>
      <c r="E219" s="214">
        <f t="shared" si="16"/>
        <v>9.0575269287115141E-15</v>
      </c>
      <c r="F219" s="213">
        <f t="shared" si="17"/>
        <v>-2.424398041251782E-12</v>
      </c>
    </row>
    <row r="220" spans="1:6" x14ac:dyDescent="0.25">
      <c r="A220" s="226">
        <f t="shared" si="19"/>
        <v>50345</v>
      </c>
      <c r="B220" s="213">
        <f t="shared" si="18"/>
        <v>-2.424398041251782E-12</v>
      </c>
      <c r="C220" s="214">
        <f>IF(ROUND(Tableau3626[[#This Row],[Solde début période]],2)&lt;=0,0,$D$2)</f>
        <v>0</v>
      </c>
      <c r="D220" s="214">
        <f t="shared" si="15"/>
        <v>-9.0914926546941816E-15</v>
      </c>
      <c r="E220" s="214">
        <f t="shared" si="16"/>
        <v>9.0914926546941816E-15</v>
      </c>
      <c r="F220" s="213">
        <f t="shared" si="17"/>
        <v>-2.4334895339064763E-12</v>
      </c>
    </row>
    <row r="221" spans="1:6" x14ac:dyDescent="0.25">
      <c r="A221" s="226">
        <f t="shared" si="19"/>
        <v>50375</v>
      </c>
      <c r="B221" s="213">
        <f t="shared" si="18"/>
        <v>-2.4334895339064763E-12</v>
      </c>
      <c r="C221" s="214">
        <f>IF(ROUND(Tableau3626[[#This Row],[Solde début période]],2)&lt;=0,0,$D$2)</f>
        <v>0</v>
      </c>
      <c r="D221" s="214">
        <f t="shared" si="15"/>
        <v>-9.1255857521492855E-15</v>
      </c>
      <c r="E221" s="214">
        <f t="shared" si="16"/>
        <v>9.1255857521492855E-15</v>
      </c>
      <c r="F221" s="213">
        <f t="shared" si="17"/>
        <v>-2.4426151196586257E-12</v>
      </c>
    </row>
    <row r="222" spans="1:6" x14ac:dyDescent="0.25">
      <c r="A222" s="226">
        <f t="shared" si="19"/>
        <v>50406</v>
      </c>
      <c r="B222" s="213">
        <f t="shared" si="18"/>
        <v>-2.4426151196586257E-12</v>
      </c>
      <c r="C222" s="214">
        <f>IF(ROUND(Tableau3626[[#This Row],[Solde début période]],2)&lt;=0,0,$D$2)</f>
        <v>0</v>
      </c>
      <c r="D222" s="214">
        <f t="shared" si="15"/>
        <v>-9.1598066987198466E-15</v>
      </c>
      <c r="E222" s="214">
        <f t="shared" si="16"/>
        <v>9.1598066987198466E-15</v>
      </c>
      <c r="F222" s="213">
        <f t="shared" si="17"/>
        <v>-2.4517749263573454E-12</v>
      </c>
    </row>
    <row r="223" spans="1:6" x14ac:dyDescent="0.25">
      <c r="A223" s="226">
        <f t="shared" si="19"/>
        <v>50437</v>
      </c>
      <c r="B223" s="213">
        <f t="shared" si="18"/>
        <v>-2.4517749263573454E-12</v>
      </c>
      <c r="C223" s="214">
        <f>IF(ROUND(Tableau3626[[#This Row],[Solde début période]],2)&lt;=0,0,$D$2)</f>
        <v>0</v>
      </c>
      <c r="D223" s="214">
        <f t="shared" si="15"/>
        <v>-9.1941559738400449E-15</v>
      </c>
      <c r="E223" s="214">
        <f t="shared" si="16"/>
        <v>9.1941559738400449E-15</v>
      </c>
      <c r="F223" s="213">
        <f t="shared" si="17"/>
        <v>-2.4609690823311855E-12</v>
      </c>
    </row>
    <row r="224" spans="1:6" x14ac:dyDescent="0.25">
      <c r="A224" s="226">
        <f t="shared" si="19"/>
        <v>50465</v>
      </c>
      <c r="B224" s="213">
        <f t="shared" si="18"/>
        <v>-2.4609690823311855E-12</v>
      </c>
      <c r="C224" s="214">
        <f>IF(ROUND(Tableau3626[[#This Row],[Solde début période]],2)&lt;=0,0,$D$2)</f>
        <v>0</v>
      </c>
      <c r="D224" s="214">
        <f t="shared" si="15"/>
        <v>-9.2286340587419454E-15</v>
      </c>
      <c r="E224" s="214">
        <f t="shared" si="16"/>
        <v>9.2286340587419454E-15</v>
      </c>
      <c r="F224" s="213">
        <f t="shared" si="17"/>
        <v>-2.4701977163899275E-12</v>
      </c>
    </row>
    <row r="225" spans="1:6" x14ac:dyDescent="0.25">
      <c r="A225" s="226">
        <f t="shared" si="19"/>
        <v>50496</v>
      </c>
      <c r="B225" s="213">
        <f t="shared" si="18"/>
        <v>-2.4701977163899275E-12</v>
      </c>
      <c r="C225" s="214">
        <f>IF(ROUND(Tableau3626[[#This Row],[Solde début période]],2)&lt;=0,0,$D$2)</f>
        <v>0</v>
      </c>
      <c r="D225" s="214">
        <f t="shared" si="15"/>
        <v>-9.2632414364622286E-15</v>
      </c>
      <c r="E225" s="214">
        <f t="shared" si="16"/>
        <v>9.2632414364622286E-15</v>
      </c>
      <c r="F225" s="213">
        <f t="shared" si="17"/>
        <v>-2.4794609578263897E-12</v>
      </c>
    </row>
    <row r="226" spans="1:6" x14ac:dyDescent="0.25">
      <c r="A226" s="226">
        <f t="shared" si="19"/>
        <v>50526</v>
      </c>
      <c r="B226" s="213">
        <f t="shared" si="18"/>
        <v>-2.4794609578263897E-12</v>
      </c>
      <c r="C226" s="214">
        <f>IF(ROUND(Tableau3626[[#This Row],[Solde début période]],2)&lt;=0,0,$D$2)</f>
        <v>0</v>
      </c>
      <c r="D226" s="214">
        <f t="shared" si="15"/>
        <v>-9.2979785918489605E-15</v>
      </c>
      <c r="E226" s="214">
        <f t="shared" si="16"/>
        <v>9.2979785918489605E-15</v>
      </c>
      <c r="F226" s="213">
        <f t="shared" si="17"/>
        <v>-2.4887589364182386E-12</v>
      </c>
    </row>
    <row r="227" spans="1:6" x14ac:dyDescent="0.25">
      <c r="A227" s="226">
        <f t="shared" si="19"/>
        <v>50557</v>
      </c>
      <c r="B227" s="213">
        <f t="shared" si="18"/>
        <v>-2.4887589364182386E-12</v>
      </c>
      <c r="C227" s="214">
        <f>IF(ROUND(Tableau3626[[#This Row],[Solde début période]],2)&lt;=0,0,$D$2)</f>
        <v>0</v>
      </c>
      <c r="D227" s="214">
        <f t="shared" si="15"/>
        <v>-9.3328460115683944E-15</v>
      </c>
      <c r="E227" s="214">
        <f t="shared" si="16"/>
        <v>9.3328460115683944E-15</v>
      </c>
      <c r="F227" s="213">
        <f t="shared" si="17"/>
        <v>-2.4980917824298071E-12</v>
      </c>
    </row>
    <row r="228" spans="1:6" x14ac:dyDescent="0.25">
      <c r="A228" s="226">
        <f t="shared" si="19"/>
        <v>50587</v>
      </c>
      <c r="B228" s="213">
        <f t="shared" si="18"/>
        <v>-2.4980917824298071E-12</v>
      </c>
      <c r="C228" s="214">
        <f>IF(ROUND(Tableau3626[[#This Row],[Solde début période]],2)&lt;=0,0,$D$2)</f>
        <v>0</v>
      </c>
      <c r="D228" s="214">
        <f t="shared" si="15"/>
        <v>-9.367844184111777E-15</v>
      </c>
      <c r="E228" s="214">
        <f t="shared" si="16"/>
        <v>9.367844184111777E-15</v>
      </c>
      <c r="F228" s="213">
        <f t="shared" si="17"/>
        <v>-2.5074596266139187E-12</v>
      </c>
    </row>
    <row r="229" spans="1:6" x14ac:dyDescent="0.25">
      <c r="A229" s="226">
        <f t="shared" si="19"/>
        <v>50618</v>
      </c>
      <c r="B229" s="213">
        <f t="shared" si="18"/>
        <v>-2.5074596266139187E-12</v>
      </c>
      <c r="C229" s="214">
        <f>IF(ROUND(Tableau3626[[#This Row],[Solde début période]],2)&lt;=0,0,$D$2)</f>
        <v>0</v>
      </c>
      <c r="D229" s="214">
        <f t="shared" si="15"/>
        <v>-9.4029735998021955E-15</v>
      </c>
      <c r="E229" s="214">
        <f t="shared" si="16"/>
        <v>9.4029735998021955E-15</v>
      </c>
      <c r="F229" s="213">
        <f t="shared" si="17"/>
        <v>-2.5168626002137209E-12</v>
      </c>
    </row>
    <row r="230" spans="1:6" x14ac:dyDescent="0.25">
      <c r="A230" s="226">
        <f t="shared" si="19"/>
        <v>50649</v>
      </c>
      <c r="B230" s="213">
        <f t="shared" si="18"/>
        <v>-2.5168626002137209E-12</v>
      </c>
      <c r="C230" s="214">
        <f>IF(ROUND(Tableau3626[[#This Row],[Solde début période]],2)&lt;=0,0,$D$2)</f>
        <v>0</v>
      </c>
      <c r="D230" s="214">
        <f t="shared" si="15"/>
        <v>-9.4382347508014538E-15</v>
      </c>
      <c r="E230" s="214">
        <f t="shared" si="16"/>
        <v>9.4382347508014538E-15</v>
      </c>
      <c r="F230" s="213">
        <f t="shared" si="17"/>
        <v>-2.5263008349645225E-12</v>
      </c>
    </row>
    <row r="231" spans="1:6" x14ac:dyDescent="0.25">
      <c r="A231" s="226">
        <f t="shared" si="19"/>
        <v>50679</v>
      </c>
      <c r="B231" s="213">
        <f t="shared" si="18"/>
        <v>-2.5263008349645225E-12</v>
      </c>
      <c r="C231" s="214">
        <f>IF(ROUND(Tableau3626[[#This Row],[Solde début période]],2)&lt;=0,0,$D$2)</f>
        <v>0</v>
      </c>
      <c r="D231" s="214">
        <f t="shared" si="15"/>
        <v>-9.4736281311169588E-15</v>
      </c>
      <c r="E231" s="214">
        <f t="shared" si="16"/>
        <v>9.4736281311169588E-15</v>
      </c>
      <c r="F231" s="213">
        <f t="shared" si="17"/>
        <v>-2.5357744630956395E-12</v>
      </c>
    </row>
    <row r="232" spans="1:6" x14ac:dyDescent="0.25">
      <c r="A232" s="226">
        <f t="shared" si="19"/>
        <v>50710</v>
      </c>
      <c r="B232" s="213">
        <f t="shared" si="18"/>
        <v>-2.5357744630956395E-12</v>
      </c>
      <c r="C232" s="214">
        <f>IF(ROUND(Tableau3626[[#This Row],[Solde début période]],2)&lt;=0,0,$D$2)</f>
        <v>0</v>
      </c>
      <c r="D232" s="214">
        <f t="shared" si="15"/>
        <v>-9.5091542366086471E-15</v>
      </c>
      <c r="E232" s="214">
        <f t="shared" si="16"/>
        <v>9.5091542366086471E-15</v>
      </c>
      <c r="F232" s="213">
        <f t="shared" si="17"/>
        <v>-2.5452836173322481E-12</v>
      </c>
    </row>
    <row r="233" spans="1:6" x14ac:dyDescent="0.25">
      <c r="A233" s="226">
        <f t="shared" si="19"/>
        <v>50740</v>
      </c>
      <c r="B233" s="213">
        <f t="shared" si="18"/>
        <v>-2.5452836173322481E-12</v>
      </c>
      <c r="C233" s="214">
        <f>IF(ROUND(Tableau3626[[#This Row],[Solde début période]],2)&lt;=0,0,$D$2)</f>
        <v>0</v>
      </c>
      <c r="D233" s="214">
        <f t="shared" si="15"/>
        <v>-9.5448135649959294E-15</v>
      </c>
      <c r="E233" s="214">
        <f t="shared" si="16"/>
        <v>9.5448135649959294E-15</v>
      </c>
      <c r="F233" s="213">
        <f t="shared" si="17"/>
        <v>-2.5548284308972439E-12</v>
      </c>
    </row>
    <row r="234" spans="1:6" x14ac:dyDescent="0.25">
      <c r="A234" s="226">
        <f t="shared" si="19"/>
        <v>50771</v>
      </c>
      <c r="B234" s="213">
        <f t="shared" si="18"/>
        <v>-2.5548284308972439E-12</v>
      </c>
      <c r="C234" s="214">
        <f>IF(ROUND(Tableau3626[[#This Row],[Solde début période]],2)&lt;=0,0,$D$2)</f>
        <v>0</v>
      </c>
      <c r="D234" s="214">
        <f t="shared" si="15"/>
        <v>-9.5806066158646648E-15</v>
      </c>
      <c r="E234" s="214">
        <f t="shared" si="16"/>
        <v>9.5806066158646648E-15</v>
      </c>
      <c r="F234" s="213">
        <f t="shared" si="17"/>
        <v>-2.5644090375131087E-12</v>
      </c>
    </row>
    <row r="235" spans="1:6" x14ac:dyDescent="0.25">
      <c r="A235" s="226">
        <f t="shared" si="19"/>
        <v>50802</v>
      </c>
      <c r="B235" s="213">
        <f t="shared" si="18"/>
        <v>-2.5644090375131087E-12</v>
      </c>
      <c r="C235" s="214">
        <f>IF(ROUND(Tableau3626[[#This Row],[Solde début période]],2)&lt;=0,0,$D$2)</f>
        <v>0</v>
      </c>
      <c r="D235" s="214">
        <f t="shared" si="15"/>
        <v>-9.6165338906741576E-15</v>
      </c>
      <c r="E235" s="214">
        <f t="shared" si="16"/>
        <v>9.6165338906741576E-15</v>
      </c>
      <c r="F235" s="213">
        <f t="shared" si="17"/>
        <v>-2.574025571403783E-12</v>
      </c>
    </row>
    <row r="236" spans="1:6" x14ac:dyDescent="0.25">
      <c r="A236" s="226">
        <f t="shared" si="19"/>
        <v>50830</v>
      </c>
      <c r="B236" s="213">
        <f t="shared" si="18"/>
        <v>-2.574025571403783E-12</v>
      </c>
      <c r="C236" s="214">
        <f>IF(ROUND(Tableau3626[[#This Row],[Solde début période]],2)&lt;=0,0,$D$2)</f>
        <v>0</v>
      </c>
      <c r="D236" s="214">
        <f t="shared" si="15"/>
        <v>-9.6525958927641858E-15</v>
      </c>
      <c r="E236" s="214">
        <f t="shared" si="16"/>
        <v>9.6525958927641858E-15</v>
      </c>
      <c r="F236" s="213">
        <f t="shared" si="17"/>
        <v>-2.5836781672965472E-12</v>
      </c>
    </row>
    <row r="237" spans="1:6" x14ac:dyDescent="0.25">
      <c r="A237" s="226">
        <f t="shared" si="19"/>
        <v>50861</v>
      </c>
      <c r="B237" s="213">
        <f t="shared" si="18"/>
        <v>-2.5836781672965472E-12</v>
      </c>
      <c r="C237" s="214">
        <f>IF(ROUND(Tableau3626[[#This Row],[Solde début période]],2)&lt;=0,0,$D$2)</f>
        <v>0</v>
      </c>
      <c r="D237" s="214">
        <f t="shared" si="15"/>
        <v>-9.6887931273620511E-15</v>
      </c>
      <c r="E237" s="214">
        <f t="shared" si="16"/>
        <v>9.6887931273620511E-15</v>
      </c>
      <c r="F237" s="213">
        <f t="shared" si="17"/>
        <v>-2.5933669604239093E-12</v>
      </c>
    </row>
    <row r="238" spans="1:6" x14ac:dyDescent="0.25">
      <c r="A238" s="226">
        <f t="shared" si="19"/>
        <v>50891</v>
      </c>
      <c r="B238" s="213">
        <f t="shared" si="18"/>
        <v>-2.5933669604239093E-12</v>
      </c>
      <c r="C238" s="214">
        <f>IF(ROUND(Tableau3626[[#This Row],[Solde début période]],2)&lt;=0,0,$D$2)</f>
        <v>0</v>
      </c>
      <c r="D238" s="214">
        <f t="shared" si="15"/>
        <v>-9.7251261015896591E-15</v>
      </c>
      <c r="E238" s="214">
        <f t="shared" si="16"/>
        <v>9.7251261015896591E-15</v>
      </c>
      <c r="F238" s="213">
        <f t="shared" si="17"/>
        <v>-2.6030920865254988E-12</v>
      </c>
    </row>
    <row r="239" spans="1:6" x14ac:dyDescent="0.25">
      <c r="A239" s="226">
        <f t="shared" si="19"/>
        <v>50922</v>
      </c>
      <c r="B239" s="213">
        <f t="shared" si="18"/>
        <v>-2.6030920865254988E-12</v>
      </c>
      <c r="C239" s="214">
        <f>IF(ROUND(Tableau3626[[#This Row],[Solde début période]],2)&lt;=0,0,$D$2)</f>
        <v>0</v>
      </c>
      <c r="D239" s="214">
        <f t="shared" si="15"/>
        <v>-9.7615953244706206E-15</v>
      </c>
      <c r="E239" s="214">
        <f t="shared" si="16"/>
        <v>9.7615953244706206E-15</v>
      </c>
      <c r="F239" s="213">
        <f t="shared" si="17"/>
        <v>-2.6128536818499693E-12</v>
      </c>
    </row>
    <row r="240" spans="1:6" x14ac:dyDescent="0.25">
      <c r="A240" s="226">
        <f t="shared" si="19"/>
        <v>50952</v>
      </c>
      <c r="B240" s="213">
        <f t="shared" si="18"/>
        <v>-2.6128536818499693E-12</v>
      </c>
      <c r="C240" s="214">
        <f>IF(ROUND(Tableau3626[[#This Row],[Solde début période]],2)&lt;=0,0,$D$2)</f>
        <v>0</v>
      </c>
      <c r="D240" s="214">
        <f t="shared" si="15"/>
        <v>-9.7982013069373851E-15</v>
      </c>
      <c r="E240" s="214">
        <f t="shared" si="16"/>
        <v>9.7982013069373851E-15</v>
      </c>
      <c r="F240" s="213">
        <f t="shared" si="17"/>
        <v>-2.6226518831569066E-12</v>
      </c>
    </row>
    <row r="241" spans="1:6" x14ac:dyDescent="0.25">
      <c r="A241" s="226">
        <f t="shared" si="19"/>
        <v>50983</v>
      </c>
      <c r="B241" s="213">
        <f t="shared" si="18"/>
        <v>-2.6226518831569066E-12</v>
      </c>
      <c r="C241" s="214">
        <f>IF(ROUND(Tableau3626[[#This Row],[Solde début période]],2)&lt;=0,0,$D$2)</f>
        <v>0</v>
      </c>
      <c r="D241" s="214">
        <f t="shared" si="15"/>
        <v>-9.8349445618383997E-15</v>
      </c>
      <c r="E241" s="214">
        <f t="shared" si="16"/>
        <v>9.8349445618383997E-15</v>
      </c>
      <c r="F241" s="213">
        <f t="shared" si="17"/>
        <v>-2.6324868277187452E-12</v>
      </c>
    </row>
    <row r="242" spans="1:6" x14ac:dyDescent="0.25">
      <c r="A242" s="226">
        <f t="shared" si="19"/>
        <v>51014</v>
      </c>
      <c r="B242" s="213">
        <f t="shared" si="18"/>
        <v>-2.6324868277187452E-12</v>
      </c>
      <c r="C242" s="214">
        <f>IF(ROUND(Tableau3626[[#This Row],[Solde début période]],2)&lt;=0,0,$D$2)</f>
        <v>0</v>
      </c>
      <c r="D242" s="214">
        <f t="shared" si="15"/>
        <v>-9.8718256039452947E-15</v>
      </c>
      <c r="E242" s="214">
        <f t="shared" si="16"/>
        <v>9.8718256039452947E-15</v>
      </c>
      <c r="F242" s="213">
        <f t="shared" si="17"/>
        <v>-2.6423586533226905E-12</v>
      </c>
    </row>
    <row r="243" spans="1:6" x14ac:dyDescent="0.25">
      <c r="A243" s="226">
        <f t="shared" si="19"/>
        <v>51044</v>
      </c>
      <c r="B243" s="213">
        <f t="shared" si="18"/>
        <v>-2.6423586533226905E-12</v>
      </c>
      <c r="C243" s="214">
        <f>IF(ROUND(Tableau3626[[#This Row],[Solde début période]],2)&lt;=0,0,$D$2)</f>
        <v>0</v>
      </c>
      <c r="D243" s="214">
        <f t="shared" si="15"/>
        <v>-9.9088449499600886E-15</v>
      </c>
      <c r="E243" s="214">
        <f t="shared" si="16"/>
        <v>9.9088449499600886E-15</v>
      </c>
      <c r="F243" s="213">
        <f t="shared" si="17"/>
        <v>-2.6522674982726507E-12</v>
      </c>
    </row>
    <row r="244" spans="1:6" x14ac:dyDescent="0.25">
      <c r="A244" s="226">
        <f t="shared" si="19"/>
        <v>51075</v>
      </c>
      <c r="B244" s="213">
        <f t="shared" si="18"/>
        <v>-2.6522674982726507E-12</v>
      </c>
      <c r="C244" s="214">
        <f>IF(ROUND(Tableau3626[[#This Row],[Solde début période]],2)&lt;=0,0,$D$2)</f>
        <v>0</v>
      </c>
      <c r="D244" s="214">
        <f t="shared" si="15"/>
        <v>-9.9460031185224396E-15</v>
      </c>
      <c r="E244" s="214">
        <f t="shared" si="16"/>
        <v>9.9460031185224396E-15</v>
      </c>
      <c r="F244" s="213">
        <f t="shared" si="17"/>
        <v>-2.662213501391173E-12</v>
      </c>
    </row>
    <row r="245" spans="1:6" x14ac:dyDescent="0.25">
      <c r="A245" s="226">
        <f t="shared" si="19"/>
        <v>51105</v>
      </c>
      <c r="B245" s="213">
        <f t="shared" si="18"/>
        <v>-2.662213501391173E-12</v>
      </c>
      <c r="C245" s="214">
        <f>IF(ROUND(Tableau3626[[#This Row],[Solde début période]],2)&lt;=0,0,$D$2)</f>
        <v>0</v>
      </c>
      <c r="D245" s="214">
        <f t="shared" si="15"/>
        <v>-9.9833006302168983E-15</v>
      </c>
      <c r="E245" s="214">
        <f t="shared" si="16"/>
        <v>9.9833006302168983E-15</v>
      </c>
      <c r="F245" s="213">
        <f t="shared" si="17"/>
        <v>-2.6721968020213899E-12</v>
      </c>
    </row>
    <row r="246" spans="1:6" x14ac:dyDescent="0.25">
      <c r="A246" s="226">
        <f t="shared" si="19"/>
        <v>51136</v>
      </c>
      <c r="B246" s="213">
        <f t="shared" si="18"/>
        <v>-2.6721968020213899E-12</v>
      </c>
      <c r="C246" s="214">
        <f>IF(ROUND(Tableau3626[[#This Row],[Solde début période]],2)&lt;=0,0,$D$2)</f>
        <v>0</v>
      </c>
      <c r="D246" s="214">
        <f t="shared" si="15"/>
        <v>-1.0020738007580213E-14</v>
      </c>
      <c r="E246" s="214">
        <f t="shared" si="16"/>
        <v>1.0020738007580213E-14</v>
      </c>
      <c r="F246" s="213">
        <f t="shared" si="17"/>
        <v>-2.6822175400289703E-12</v>
      </c>
    </row>
    <row r="247" spans="1:6" x14ac:dyDescent="0.25">
      <c r="A247" s="226">
        <f t="shared" si="19"/>
        <v>51167</v>
      </c>
      <c r="B247" s="213">
        <f t="shared" si="18"/>
        <v>-2.6822175400289703E-12</v>
      </c>
      <c r="C247" s="214">
        <f>IF(ROUND(Tableau3626[[#This Row],[Solde début période]],2)&lt;=0,0,$D$2)</f>
        <v>0</v>
      </c>
      <c r="D247" s="214">
        <f t="shared" si="15"/>
        <v>-1.0058315775108638E-14</v>
      </c>
      <c r="E247" s="214">
        <f t="shared" si="16"/>
        <v>1.0058315775108638E-14</v>
      </c>
      <c r="F247" s="213">
        <f t="shared" si="17"/>
        <v>-2.6922758558040787E-12</v>
      </c>
    </row>
    <row r="248" spans="1:6" x14ac:dyDescent="0.25">
      <c r="A248" s="226">
        <f t="shared" si="19"/>
        <v>51196</v>
      </c>
      <c r="B248" s="213">
        <f t="shared" si="18"/>
        <v>-2.6922758558040787E-12</v>
      </c>
      <c r="C248" s="214">
        <f>IF(ROUND(Tableau3626[[#This Row],[Solde début période]],2)&lt;=0,0,$D$2)</f>
        <v>0</v>
      </c>
      <c r="D248" s="214">
        <f t="shared" si="15"/>
        <v>-1.0096034459265294E-14</v>
      </c>
      <c r="E248" s="214">
        <f t="shared" si="16"/>
        <v>1.0096034459265294E-14</v>
      </c>
      <c r="F248" s="213">
        <f t="shared" si="17"/>
        <v>-2.7023718902633441E-12</v>
      </c>
    </row>
    <row r="249" spans="1:6" x14ac:dyDescent="0.25">
      <c r="A249" s="226">
        <f t="shared" si="19"/>
        <v>51227</v>
      </c>
      <c r="B249" s="213">
        <f t="shared" si="18"/>
        <v>-2.7023718902633441E-12</v>
      </c>
      <c r="C249" s="214">
        <f>IF(ROUND(Tableau3626[[#This Row],[Solde début période]],2)&lt;=0,0,$D$2)</f>
        <v>0</v>
      </c>
      <c r="D249" s="214">
        <f t="shared" si="15"/>
        <v>-1.013389458848754E-14</v>
      </c>
      <c r="E249" s="214">
        <f t="shared" si="16"/>
        <v>1.013389458848754E-14</v>
      </c>
      <c r="F249" s="213">
        <f t="shared" si="17"/>
        <v>-2.7125057848518315E-12</v>
      </c>
    </row>
    <row r="250" spans="1:6" x14ac:dyDescent="0.25">
      <c r="A250" s="226">
        <f t="shared" si="19"/>
        <v>51257</v>
      </c>
      <c r="B250" s="213">
        <f t="shared" si="18"/>
        <v>-2.7125057848518315E-12</v>
      </c>
      <c r="C250" s="214">
        <f>IF(ROUND(Tableau3626[[#This Row],[Solde début période]],2)&lt;=0,0,$D$2)</f>
        <v>0</v>
      </c>
      <c r="D250" s="214">
        <f t="shared" si="15"/>
        <v>-1.0171896693194368E-14</v>
      </c>
      <c r="E250" s="214">
        <f t="shared" si="16"/>
        <v>1.0171896693194368E-14</v>
      </c>
      <c r="F250" s="213">
        <f t="shared" si="17"/>
        <v>-2.7226776815450259E-12</v>
      </c>
    </row>
    <row r="251" spans="1:6" x14ac:dyDescent="0.25">
      <c r="A251" s="226">
        <f t="shared" si="19"/>
        <v>51288</v>
      </c>
      <c r="B251" s="213">
        <f t="shared" si="18"/>
        <v>-2.7226776815450259E-12</v>
      </c>
      <c r="C251" s="214">
        <f>IF(ROUND(Tableau3626[[#This Row],[Solde début période]],2)&lt;=0,0,$D$2)</f>
        <v>0</v>
      </c>
      <c r="D251" s="214">
        <f t="shared" si="15"/>
        <v>-1.0210041305793848E-14</v>
      </c>
      <c r="E251" s="214">
        <f t="shared" si="16"/>
        <v>1.0210041305793848E-14</v>
      </c>
      <c r="F251" s="213">
        <f t="shared" si="17"/>
        <v>-2.73288772285082E-12</v>
      </c>
    </row>
    <row r="252" spans="1:6" x14ac:dyDescent="0.25">
      <c r="A252" s="226">
        <f t="shared" si="19"/>
        <v>51318</v>
      </c>
      <c r="B252" s="213">
        <f t="shared" si="18"/>
        <v>-2.73288772285082E-12</v>
      </c>
      <c r="C252" s="214">
        <f>IF(ROUND(Tableau3626[[#This Row],[Solde début période]],2)&lt;=0,0,$D$2)</f>
        <v>0</v>
      </c>
      <c r="D252" s="214">
        <f t="shared" si="15"/>
        <v>-1.0248328960690575E-14</v>
      </c>
      <c r="E252" s="214">
        <f t="shared" si="16"/>
        <v>1.0248328960690575E-14</v>
      </c>
      <c r="F252" s="213">
        <f t="shared" si="17"/>
        <v>-2.7431360518115107E-12</v>
      </c>
    </row>
    <row r="253" spans="1:6" x14ac:dyDescent="0.25">
      <c r="A253" s="226">
        <f t="shared" si="19"/>
        <v>51349</v>
      </c>
      <c r="B253" s="213">
        <f t="shared" si="18"/>
        <v>-2.7431360518115107E-12</v>
      </c>
      <c r="C253" s="214">
        <f>IF(ROUND(Tableau3626[[#This Row],[Solde début période]],2)&lt;=0,0,$D$2)</f>
        <v>0</v>
      </c>
      <c r="D253" s="214">
        <f t="shared" si="15"/>
        <v>-1.0286760194293165E-14</v>
      </c>
      <c r="E253" s="214">
        <f t="shared" si="16"/>
        <v>1.0286760194293165E-14</v>
      </c>
      <c r="F253" s="213">
        <f t="shared" si="17"/>
        <v>-2.7534228120058038E-12</v>
      </c>
    </row>
    <row r="254" spans="1:6" x14ac:dyDescent="0.25">
      <c r="A254" s="226">
        <f t="shared" si="19"/>
        <v>51380</v>
      </c>
      <c r="B254" s="213">
        <f t="shared" si="18"/>
        <v>-2.7534228120058038E-12</v>
      </c>
      <c r="C254" s="214">
        <f>IF(ROUND(Tableau3626[[#This Row],[Solde début période]],2)&lt;=0,0,$D$2)</f>
        <v>0</v>
      </c>
      <c r="D254" s="214">
        <f t="shared" si="15"/>
        <v>-1.0325335545021765E-14</v>
      </c>
      <c r="E254" s="214">
        <f t="shared" si="16"/>
        <v>1.0325335545021765E-14</v>
      </c>
      <c r="F254" s="213">
        <f t="shared" si="17"/>
        <v>-2.7637481475508256E-12</v>
      </c>
    </row>
    <row r="255" spans="1:6" x14ac:dyDescent="0.25">
      <c r="A255" s="226">
        <f t="shared" si="19"/>
        <v>51410</v>
      </c>
      <c r="B255" s="213">
        <f t="shared" si="18"/>
        <v>-2.7637481475508256E-12</v>
      </c>
      <c r="C255" s="214">
        <f>IF(ROUND(Tableau3626[[#This Row],[Solde début période]],2)&lt;=0,0,$D$2)</f>
        <v>0</v>
      </c>
      <c r="D255" s="214">
        <f t="shared" si="15"/>
        <v>-1.0364055553315595E-14</v>
      </c>
      <c r="E255" s="214">
        <f t="shared" si="16"/>
        <v>1.0364055553315595E-14</v>
      </c>
      <c r="F255" s="213">
        <f t="shared" si="17"/>
        <v>-2.7741122031041413E-12</v>
      </c>
    </row>
    <row r="256" spans="1:6" x14ac:dyDescent="0.25">
      <c r="A256" s="226">
        <f t="shared" si="19"/>
        <v>51441</v>
      </c>
      <c r="B256" s="213">
        <f t="shared" si="18"/>
        <v>-2.7741122031041413E-12</v>
      </c>
      <c r="C256" s="214">
        <f>IF(ROUND(Tableau3626[[#This Row],[Solde début période]],2)&lt;=0,0,$D$2)</f>
        <v>0</v>
      </c>
      <c r="D256" s="214">
        <f t="shared" si="15"/>
        <v>-1.0402920761640529E-14</v>
      </c>
      <c r="E256" s="214">
        <f t="shared" si="16"/>
        <v>1.0402920761640529E-14</v>
      </c>
      <c r="F256" s="213">
        <f t="shared" si="17"/>
        <v>-2.7845151238657818E-12</v>
      </c>
    </row>
    <row r="257" spans="1:6" x14ac:dyDescent="0.25">
      <c r="A257" s="226">
        <f t="shared" si="19"/>
        <v>51471</v>
      </c>
      <c r="B257" s="213">
        <f t="shared" si="18"/>
        <v>-2.7845151238657818E-12</v>
      </c>
      <c r="C257" s="214">
        <f>IF(ROUND(Tableau3626[[#This Row],[Solde début période]],2)&lt;=0,0,$D$2)</f>
        <v>0</v>
      </c>
      <c r="D257" s="214">
        <f t="shared" si="15"/>
        <v>-1.0441931714496681E-14</v>
      </c>
      <c r="E257" s="214">
        <f t="shared" si="16"/>
        <v>1.0441931714496681E-14</v>
      </c>
      <c r="F257" s="213">
        <f t="shared" si="17"/>
        <v>-2.7949570555802787E-12</v>
      </c>
    </row>
    <row r="258" spans="1:6" x14ac:dyDescent="0.25">
      <c r="A258" s="226">
        <f t="shared" si="19"/>
        <v>51502</v>
      </c>
      <c r="B258" s="213">
        <f t="shared" si="18"/>
        <v>-2.7949570555802787E-12</v>
      </c>
      <c r="C258" s="214">
        <f>IF(ROUND(Tableau3626[[#This Row],[Solde début période]],2)&lt;=0,0,$D$2)</f>
        <v>0</v>
      </c>
      <c r="D258" s="214">
        <f t="shared" si="15"/>
        <v>-1.0481088958426045E-14</v>
      </c>
      <c r="E258" s="214">
        <f t="shared" si="16"/>
        <v>1.0481088958426045E-14</v>
      </c>
      <c r="F258" s="213">
        <f t="shared" si="17"/>
        <v>-2.8054381445387047E-12</v>
      </c>
    </row>
    <row r="259" spans="1:6" x14ac:dyDescent="0.25">
      <c r="A259" s="226">
        <f t="shared" si="19"/>
        <v>51533</v>
      </c>
      <c r="B259" s="213">
        <f t="shared" si="18"/>
        <v>-2.8054381445387047E-12</v>
      </c>
      <c r="C259" s="214">
        <f>IF(ROUND(Tableau3626[[#This Row],[Solde début période]],2)&lt;=0,0,$D$2)</f>
        <v>0</v>
      </c>
      <c r="D259" s="214">
        <f t="shared" si="15"/>
        <v>-1.0520393042020143E-14</v>
      </c>
      <c r="E259" s="214">
        <f t="shared" si="16"/>
        <v>1.0520393042020143E-14</v>
      </c>
      <c r="F259" s="213">
        <f t="shared" si="17"/>
        <v>-2.8159585375807248E-12</v>
      </c>
    </row>
    <row r="260" spans="1:6" x14ac:dyDescent="0.25">
      <c r="A260" s="226">
        <f t="shared" si="19"/>
        <v>51561</v>
      </c>
      <c r="B260" s="213">
        <f t="shared" si="18"/>
        <v>-2.8159585375807248E-12</v>
      </c>
      <c r="C260" s="214">
        <f>IF(ROUND(Tableau3626[[#This Row],[Solde début période]],2)&lt;=0,0,$D$2)</f>
        <v>0</v>
      </c>
      <c r="D260" s="214">
        <f t="shared" si="15"/>
        <v>-1.0559844515927718E-14</v>
      </c>
      <c r="E260" s="214">
        <f t="shared" si="16"/>
        <v>1.0559844515927718E-14</v>
      </c>
      <c r="F260" s="213">
        <f t="shared" si="17"/>
        <v>-2.8265183820966525E-12</v>
      </c>
    </row>
    <row r="261" spans="1:6" x14ac:dyDescent="0.25">
      <c r="A261" s="226">
        <f t="shared" si="19"/>
        <v>51592</v>
      </c>
      <c r="B261" s="213">
        <f t="shared" si="18"/>
        <v>-2.8265183820966525E-12</v>
      </c>
      <c r="C261" s="214">
        <f>IF(ROUND(Tableau3626[[#This Row],[Solde début période]],2)&lt;=0,0,$D$2)</f>
        <v>0</v>
      </c>
      <c r="D261" s="214">
        <f t="shared" si="15"/>
        <v>-1.0599443932862446E-14</v>
      </c>
      <c r="E261" s="214">
        <f t="shared" si="16"/>
        <v>1.0599443932862446E-14</v>
      </c>
      <c r="F261" s="213">
        <f t="shared" si="17"/>
        <v>-2.837117826029515E-12</v>
      </c>
    </row>
    <row r="262" spans="1:6" x14ac:dyDescent="0.25">
      <c r="A262" s="226">
        <f t="shared" si="19"/>
        <v>51622</v>
      </c>
      <c r="B262" s="213">
        <f t="shared" si="18"/>
        <v>-2.837117826029515E-12</v>
      </c>
      <c r="C262" s="214">
        <f>IF(ROUND(Tableau3626[[#This Row],[Solde début période]],2)&lt;=0,0,$D$2)</f>
        <v>0</v>
      </c>
      <c r="D262" s="214">
        <f t="shared" ref="D262:D325" si="20">B262*($B$2/12)</f>
        <v>-1.063919184761068E-14</v>
      </c>
      <c r="E262" s="214">
        <f t="shared" ref="E262:E325" si="21">C262-D262</f>
        <v>1.063919184761068E-14</v>
      </c>
      <c r="F262" s="213">
        <f t="shared" ref="F262:F325" si="22">B262-E262</f>
        <v>-2.8477570178771258E-12</v>
      </c>
    </row>
    <row r="263" spans="1:6" x14ac:dyDescent="0.25">
      <c r="A263" s="226">
        <f t="shared" si="19"/>
        <v>51653</v>
      </c>
      <c r="B263" s="213">
        <f t="shared" ref="B263:B326" si="23">F262</f>
        <v>-2.8477570178771258E-12</v>
      </c>
      <c r="C263" s="214">
        <f>IF(ROUND(Tableau3626[[#This Row],[Solde début période]],2)&lt;=0,0,$D$2)</f>
        <v>0</v>
      </c>
      <c r="D263" s="214">
        <f t="shared" si="20"/>
        <v>-1.0679088817039222E-14</v>
      </c>
      <c r="E263" s="214">
        <f t="shared" si="21"/>
        <v>1.0679088817039222E-14</v>
      </c>
      <c r="F263" s="213">
        <f t="shared" si="22"/>
        <v>-2.8584361066941649E-12</v>
      </c>
    </row>
    <row r="264" spans="1:6" x14ac:dyDescent="0.25">
      <c r="A264" s="226">
        <f t="shared" ref="A264:A327" si="24">EDATE(A263,1)</f>
        <v>51683</v>
      </c>
      <c r="B264" s="213">
        <f t="shared" si="23"/>
        <v>-2.8584361066941649E-12</v>
      </c>
      <c r="C264" s="214">
        <f>IF(ROUND(Tableau3626[[#This Row],[Solde début période]],2)&lt;=0,0,$D$2)</f>
        <v>0</v>
      </c>
      <c r="D264" s="214">
        <f t="shared" si="20"/>
        <v>-1.0719135400103118E-14</v>
      </c>
      <c r="E264" s="214">
        <f t="shared" si="21"/>
        <v>1.0719135400103118E-14</v>
      </c>
      <c r="F264" s="213">
        <f t="shared" si="22"/>
        <v>-2.8691552420942681E-12</v>
      </c>
    </row>
    <row r="265" spans="1:6" x14ac:dyDescent="0.25">
      <c r="A265" s="226">
        <f t="shared" si="24"/>
        <v>51714</v>
      </c>
      <c r="B265" s="213">
        <f t="shared" si="23"/>
        <v>-2.8691552420942681E-12</v>
      </c>
      <c r="C265" s="214">
        <f>IF(ROUND(Tableau3626[[#This Row],[Solde début période]],2)&lt;=0,0,$D$2)</f>
        <v>0</v>
      </c>
      <c r="D265" s="214">
        <f t="shared" si="20"/>
        <v>-1.0759332157853505E-14</v>
      </c>
      <c r="E265" s="214">
        <f t="shared" si="21"/>
        <v>1.0759332157853505E-14</v>
      </c>
      <c r="F265" s="213">
        <f t="shared" si="22"/>
        <v>-2.8799145742521215E-12</v>
      </c>
    </row>
    <row r="266" spans="1:6" x14ac:dyDescent="0.25">
      <c r="A266" s="226">
        <f t="shared" si="24"/>
        <v>51745</v>
      </c>
      <c r="B266" s="213">
        <f t="shared" si="23"/>
        <v>-2.8799145742521215E-12</v>
      </c>
      <c r="C266" s="214">
        <f>IF(ROUND(Tableau3626[[#This Row],[Solde début période]],2)&lt;=0,0,$D$2)</f>
        <v>0</v>
      </c>
      <c r="D266" s="214">
        <f t="shared" si="20"/>
        <v>-1.0799679653445455E-14</v>
      </c>
      <c r="E266" s="214">
        <f t="shared" si="21"/>
        <v>1.0799679653445455E-14</v>
      </c>
      <c r="F266" s="213">
        <f t="shared" si="22"/>
        <v>-2.8907142539055671E-12</v>
      </c>
    </row>
    <row r="267" spans="1:6" x14ac:dyDescent="0.25">
      <c r="A267" s="226">
        <f t="shared" si="24"/>
        <v>51775</v>
      </c>
      <c r="B267" s="213">
        <f t="shared" si="23"/>
        <v>-2.8907142539055671E-12</v>
      </c>
      <c r="C267" s="214">
        <f>IF(ROUND(Tableau3626[[#This Row],[Solde début période]],2)&lt;=0,0,$D$2)</f>
        <v>0</v>
      </c>
      <c r="D267" s="214">
        <f t="shared" si="20"/>
        <v>-1.0840178452145876E-14</v>
      </c>
      <c r="E267" s="214">
        <f t="shared" si="21"/>
        <v>1.0840178452145876E-14</v>
      </c>
      <c r="F267" s="213">
        <f t="shared" si="22"/>
        <v>-2.901554432357713E-12</v>
      </c>
    </row>
    <row r="268" spans="1:6" x14ac:dyDescent="0.25">
      <c r="A268" s="226">
        <f t="shared" si="24"/>
        <v>51806</v>
      </c>
      <c r="B268" s="213">
        <f t="shared" si="23"/>
        <v>-2.901554432357713E-12</v>
      </c>
      <c r="C268" s="214">
        <f>IF(ROUND(Tableau3626[[#This Row],[Solde début période]],2)&lt;=0,0,$D$2)</f>
        <v>0</v>
      </c>
      <c r="D268" s="214">
        <f t="shared" si="20"/>
        <v>-1.0880829121341424E-14</v>
      </c>
      <c r="E268" s="214">
        <f t="shared" si="21"/>
        <v>1.0880829121341424E-14</v>
      </c>
      <c r="F268" s="213">
        <f t="shared" si="22"/>
        <v>-2.9124352614790545E-12</v>
      </c>
    </row>
    <row r="269" spans="1:6" x14ac:dyDescent="0.25">
      <c r="A269" s="226">
        <f t="shared" si="24"/>
        <v>51836</v>
      </c>
      <c r="B269" s="213">
        <f t="shared" si="23"/>
        <v>-2.9124352614790545E-12</v>
      </c>
      <c r="C269" s="214">
        <f>IF(ROUND(Tableau3626[[#This Row],[Solde début période]],2)&lt;=0,0,$D$2)</f>
        <v>0</v>
      </c>
      <c r="D269" s="214">
        <f t="shared" si="20"/>
        <v>-1.0921632230546454E-14</v>
      </c>
      <c r="E269" s="214">
        <f t="shared" si="21"/>
        <v>1.0921632230546454E-14</v>
      </c>
      <c r="F269" s="213">
        <f t="shared" si="22"/>
        <v>-2.9233568937096008E-12</v>
      </c>
    </row>
    <row r="270" spans="1:6" x14ac:dyDescent="0.25">
      <c r="A270" s="226">
        <f t="shared" si="24"/>
        <v>51867</v>
      </c>
      <c r="B270" s="213">
        <f t="shared" si="23"/>
        <v>-2.9233568937096008E-12</v>
      </c>
      <c r="C270" s="214">
        <f>IF(ROUND(Tableau3626[[#This Row],[Solde début période]],2)&lt;=0,0,$D$2)</f>
        <v>0</v>
      </c>
      <c r="D270" s="214">
        <f t="shared" si="20"/>
        <v>-1.0962588351411003E-14</v>
      </c>
      <c r="E270" s="214">
        <f t="shared" si="21"/>
        <v>1.0962588351411003E-14</v>
      </c>
      <c r="F270" s="213">
        <f t="shared" si="22"/>
        <v>-2.9343194820610117E-12</v>
      </c>
    </row>
    <row r="271" spans="1:6" x14ac:dyDescent="0.25">
      <c r="A271" s="226">
        <f t="shared" si="24"/>
        <v>51898</v>
      </c>
      <c r="B271" s="213">
        <f t="shared" si="23"/>
        <v>-2.9343194820610117E-12</v>
      </c>
      <c r="C271" s="214">
        <f>IF(ROUND(Tableau3626[[#This Row],[Solde début période]],2)&lt;=0,0,$D$2)</f>
        <v>0</v>
      </c>
      <c r="D271" s="214">
        <f t="shared" si="20"/>
        <v>-1.1003698057728794E-14</v>
      </c>
      <c r="E271" s="214">
        <f t="shared" si="21"/>
        <v>1.1003698057728794E-14</v>
      </c>
      <c r="F271" s="213">
        <f t="shared" si="22"/>
        <v>-2.9453231801187403E-12</v>
      </c>
    </row>
    <row r="272" spans="1:6" x14ac:dyDescent="0.25">
      <c r="A272" s="226">
        <f t="shared" si="24"/>
        <v>51926</v>
      </c>
      <c r="B272" s="213">
        <f t="shared" si="23"/>
        <v>-2.9453231801187403E-12</v>
      </c>
      <c r="C272" s="214">
        <f>IF(ROUND(Tableau3626[[#This Row],[Solde début période]],2)&lt;=0,0,$D$2)</f>
        <v>0</v>
      </c>
      <c r="D272" s="214">
        <f t="shared" si="20"/>
        <v>-1.1044961925445276E-14</v>
      </c>
      <c r="E272" s="214">
        <f t="shared" si="21"/>
        <v>1.1044961925445276E-14</v>
      </c>
      <c r="F272" s="213">
        <f t="shared" si="22"/>
        <v>-2.9563681420441857E-12</v>
      </c>
    </row>
    <row r="273" spans="1:6" x14ac:dyDescent="0.25">
      <c r="A273" s="226">
        <f t="shared" si="24"/>
        <v>51957</v>
      </c>
      <c r="B273" s="213">
        <f t="shared" si="23"/>
        <v>-2.9563681420441857E-12</v>
      </c>
      <c r="C273" s="214">
        <f>IF(ROUND(Tableau3626[[#This Row],[Solde début période]],2)&lt;=0,0,$D$2)</f>
        <v>0</v>
      </c>
      <c r="D273" s="214">
        <f t="shared" si="20"/>
        <v>-1.1086380532665697E-14</v>
      </c>
      <c r="E273" s="214">
        <f t="shared" si="21"/>
        <v>1.1086380532665697E-14</v>
      </c>
      <c r="F273" s="213">
        <f t="shared" si="22"/>
        <v>-2.9674545225768516E-12</v>
      </c>
    </row>
    <row r="274" spans="1:6" x14ac:dyDescent="0.25">
      <c r="A274" s="226">
        <f t="shared" si="24"/>
        <v>51987</v>
      </c>
      <c r="B274" s="213">
        <f t="shared" si="23"/>
        <v>-2.9674545225768516E-12</v>
      </c>
      <c r="C274" s="214">
        <f>IF(ROUND(Tableau3626[[#This Row],[Solde début période]],2)&lt;=0,0,$D$2)</f>
        <v>0</v>
      </c>
      <c r="D274" s="214">
        <f t="shared" si="20"/>
        <v>-1.1127954459663192E-14</v>
      </c>
      <c r="E274" s="214">
        <f t="shared" si="21"/>
        <v>1.1127954459663192E-14</v>
      </c>
      <c r="F274" s="213">
        <f t="shared" si="22"/>
        <v>-2.9785824770365149E-12</v>
      </c>
    </row>
    <row r="275" spans="1:6" x14ac:dyDescent="0.25">
      <c r="A275" s="226">
        <f t="shared" si="24"/>
        <v>52018</v>
      </c>
      <c r="B275" s="213">
        <f t="shared" si="23"/>
        <v>-2.9785824770365149E-12</v>
      </c>
      <c r="C275" s="214">
        <f>IF(ROUND(Tableau3626[[#This Row],[Solde début période]],2)&lt;=0,0,$D$2)</f>
        <v>0</v>
      </c>
      <c r="D275" s="214">
        <f t="shared" si="20"/>
        <v>-1.116968428888693E-14</v>
      </c>
      <c r="E275" s="214">
        <f t="shared" si="21"/>
        <v>1.116968428888693E-14</v>
      </c>
      <c r="F275" s="213">
        <f t="shared" si="22"/>
        <v>-2.9897521613254018E-12</v>
      </c>
    </row>
    <row r="276" spans="1:6" x14ac:dyDescent="0.25">
      <c r="A276" s="226">
        <f t="shared" si="24"/>
        <v>52048</v>
      </c>
      <c r="B276" s="213">
        <f t="shared" si="23"/>
        <v>-2.9897521613254018E-12</v>
      </c>
      <c r="C276" s="214">
        <f>IF(ROUND(Tableau3626[[#This Row],[Solde début période]],2)&lt;=0,0,$D$2)</f>
        <v>0</v>
      </c>
      <c r="D276" s="214">
        <f t="shared" si="20"/>
        <v>-1.1211570604970256E-14</v>
      </c>
      <c r="E276" s="214">
        <f t="shared" si="21"/>
        <v>1.1211570604970256E-14</v>
      </c>
      <c r="F276" s="213">
        <f t="shared" si="22"/>
        <v>-3.0009637319303719E-12</v>
      </c>
    </row>
    <row r="277" spans="1:6" x14ac:dyDescent="0.25">
      <c r="A277" s="226">
        <f t="shared" si="24"/>
        <v>52079</v>
      </c>
      <c r="B277" s="213">
        <f t="shared" si="23"/>
        <v>-3.0009637319303719E-12</v>
      </c>
      <c r="C277" s="214">
        <f>IF(ROUND(Tableau3626[[#This Row],[Solde début période]],2)&lt;=0,0,$D$2)</f>
        <v>0</v>
      </c>
      <c r="D277" s="214">
        <f t="shared" si="20"/>
        <v>-1.1253613994738894E-14</v>
      </c>
      <c r="E277" s="214">
        <f t="shared" si="21"/>
        <v>1.1253613994738894E-14</v>
      </c>
      <c r="F277" s="213">
        <f t="shared" si="22"/>
        <v>-3.0122173459251107E-12</v>
      </c>
    </row>
    <row r="278" spans="1:6" x14ac:dyDescent="0.25">
      <c r="A278" s="226">
        <f t="shared" si="24"/>
        <v>52110</v>
      </c>
      <c r="B278" s="213">
        <f t="shared" si="23"/>
        <v>-3.0122173459251107E-12</v>
      </c>
      <c r="C278" s="214">
        <f>IF(ROUND(Tableau3626[[#This Row],[Solde début période]],2)&lt;=0,0,$D$2)</f>
        <v>0</v>
      </c>
      <c r="D278" s="214">
        <f t="shared" si="20"/>
        <v>-1.1295815047219165E-14</v>
      </c>
      <c r="E278" s="214">
        <f t="shared" si="21"/>
        <v>1.1295815047219165E-14</v>
      </c>
      <c r="F278" s="213">
        <f t="shared" si="22"/>
        <v>-3.02351316097233E-12</v>
      </c>
    </row>
    <row r="279" spans="1:6" x14ac:dyDescent="0.25">
      <c r="A279" s="226">
        <f t="shared" si="24"/>
        <v>52140</v>
      </c>
      <c r="B279" s="213">
        <f t="shared" si="23"/>
        <v>-3.02351316097233E-12</v>
      </c>
      <c r="C279" s="214">
        <f>IF(ROUND(Tableau3626[[#This Row],[Solde début période]],2)&lt;=0,0,$D$2)</f>
        <v>0</v>
      </c>
      <c r="D279" s="214">
        <f t="shared" si="20"/>
        <v>-1.1338174353646238E-14</v>
      </c>
      <c r="E279" s="214">
        <f t="shared" si="21"/>
        <v>1.1338174353646238E-14</v>
      </c>
      <c r="F279" s="213">
        <f t="shared" si="22"/>
        <v>-3.0348513353259764E-12</v>
      </c>
    </row>
    <row r="280" spans="1:6" x14ac:dyDescent="0.25">
      <c r="A280" s="226">
        <f t="shared" si="24"/>
        <v>52171</v>
      </c>
      <c r="B280" s="213">
        <f t="shared" si="23"/>
        <v>-3.0348513353259764E-12</v>
      </c>
      <c r="C280" s="214">
        <f>IF(ROUND(Tableau3626[[#This Row],[Solde début période]],2)&lt;=0,0,$D$2)</f>
        <v>0</v>
      </c>
      <c r="D280" s="214">
        <f t="shared" si="20"/>
        <v>-1.138069250747241E-14</v>
      </c>
      <c r="E280" s="214">
        <f t="shared" si="21"/>
        <v>1.138069250747241E-14</v>
      </c>
      <c r="F280" s="213">
        <f t="shared" si="22"/>
        <v>-3.0462320278334486E-12</v>
      </c>
    </row>
    <row r="281" spans="1:6" x14ac:dyDescent="0.25">
      <c r="A281" s="226">
        <f t="shared" si="24"/>
        <v>52201</v>
      </c>
      <c r="B281" s="213">
        <f t="shared" si="23"/>
        <v>-3.0462320278334486E-12</v>
      </c>
      <c r="C281" s="214">
        <f>IF(ROUND(Tableau3626[[#This Row],[Solde début période]],2)&lt;=0,0,$D$2)</f>
        <v>0</v>
      </c>
      <c r="D281" s="214">
        <f t="shared" si="20"/>
        <v>-1.1423370104375432E-14</v>
      </c>
      <c r="E281" s="214">
        <f t="shared" si="21"/>
        <v>1.1423370104375432E-14</v>
      </c>
      <c r="F281" s="213">
        <f t="shared" si="22"/>
        <v>-3.0576553979378241E-12</v>
      </c>
    </row>
    <row r="282" spans="1:6" x14ac:dyDescent="0.25">
      <c r="A282" s="226">
        <f t="shared" si="24"/>
        <v>52232</v>
      </c>
      <c r="B282" s="213">
        <f t="shared" si="23"/>
        <v>-3.0576553979378241E-12</v>
      </c>
      <c r="C282" s="214">
        <f>IF(ROUND(Tableau3626[[#This Row],[Solde début période]],2)&lt;=0,0,$D$2)</f>
        <v>0</v>
      </c>
      <c r="D282" s="214">
        <f t="shared" si="20"/>
        <v>-1.1466207742266839E-14</v>
      </c>
      <c r="E282" s="214">
        <f t="shared" si="21"/>
        <v>1.1466207742266839E-14</v>
      </c>
      <c r="F282" s="213">
        <f t="shared" si="22"/>
        <v>-3.0691216056800908E-12</v>
      </c>
    </row>
    <row r="283" spans="1:6" x14ac:dyDescent="0.25">
      <c r="A283" s="226">
        <f t="shared" si="24"/>
        <v>52263</v>
      </c>
      <c r="B283" s="213">
        <f t="shared" si="23"/>
        <v>-3.0691216056800908E-12</v>
      </c>
      <c r="C283" s="214">
        <f>IF(ROUND(Tableau3626[[#This Row],[Solde début période]],2)&lt;=0,0,$D$2)</f>
        <v>0</v>
      </c>
      <c r="D283" s="214">
        <f t="shared" si="20"/>
        <v>-1.150920602130034E-14</v>
      </c>
      <c r="E283" s="214">
        <f t="shared" si="21"/>
        <v>1.150920602130034E-14</v>
      </c>
      <c r="F283" s="213">
        <f t="shared" si="22"/>
        <v>-3.0806308117013911E-12</v>
      </c>
    </row>
    <row r="284" spans="1:6" x14ac:dyDescent="0.25">
      <c r="A284" s="226">
        <f t="shared" si="24"/>
        <v>52291</v>
      </c>
      <c r="B284" s="213">
        <f t="shared" si="23"/>
        <v>-3.0806308117013911E-12</v>
      </c>
      <c r="C284" s="214">
        <f>IF(ROUND(Tableau3626[[#This Row],[Solde début période]],2)&lt;=0,0,$D$2)</f>
        <v>0</v>
      </c>
      <c r="D284" s="214">
        <f t="shared" si="20"/>
        <v>-1.1552365543880216E-14</v>
      </c>
      <c r="E284" s="214">
        <f t="shared" si="21"/>
        <v>1.1552365543880216E-14</v>
      </c>
      <c r="F284" s="213">
        <f t="shared" si="22"/>
        <v>-3.0921831772452712E-12</v>
      </c>
    </row>
    <row r="285" spans="1:6" x14ac:dyDescent="0.25">
      <c r="A285" s="226">
        <f t="shared" si="24"/>
        <v>52322</v>
      </c>
      <c r="B285" s="213">
        <f t="shared" si="23"/>
        <v>-3.0921831772452712E-12</v>
      </c>
      <c r="C285" s="214">
        <f>IF(ROUND(Tableau3626[[#This Row],[Solde début période]],2)&lt;=0,0,$D$2)</f>
        <v>0</v>
      </c>
      <c r="D285" s="214">
        <f t="shared" si="20"/>
        <v>-1.1595686914669766E-14</v>
      </c>
      <c r="E285" s="214">
        <f t="shared" si="21"/>
        <v>1.1595686914669766E-14</v>
      </c>
      <c r="F285" s="213">
        <f t="shared" si="22"/>
        <v>-3.1037788641599411E-12</v>
      </c>
    </row>
    <row r="286" spans="1:6" x14ac:dyDescent="0.25">
      <c r="A286" s="226">
        <f t="shared" si="24"/>
        <v>52352</v>
      </c>
      <c r="B286" s="213">
        <f t="shared" si="23"/>
        <v>-3.1037788641599411E-12</v>
      </c>
      <c r="C286" s="214">
        <f>IF(ROUND(Tableau3626[[#This Row],[Solde début période]],2)&lt;=0,0,$D$2)</f>
        <v>0</v>
      </c>
      <c r="D286" s="214">
        <f t="shared" si="20"/>
        <v>-1.1639170740599778E-14</v>
      </c>
      <c r="E286" s="214">
        <f t="shared" si="21"/>
        <v>1.1639170740599778E-14</v>
      </c>
      <c r="F286" s="213">
        <f t="shared" si="22"/>
        <v>-3.115418034900541E-12</v>
      </c>
    </row>
    <row r="287" spans="1:6" x14ac:dyDescent="0.25">
      <c r="A287" s="226">
        <f t="shared" si="24"/>
        <v>52383</v>
      </c>
      <c r="B287" s="213">
        <f t="shared" si="23"/>
        <v>-3.115418034900541E-12</v>
      </c>
      <c r="C287" s="214">
        <f>IF(ROUND(Tableau3626[[#This Row],[Solde début période]],2)&lt;=0,0,$D$2)</f>
        <v>0</v>
      </c>
      <c r="D287" s="214">
        <f t="shared" si="20"/>
        <v>-1.1682817630877028E-14</v>
      </c>
      <c r="E287" s="214">
        <f t="shared" si="21"/>
        <v>1.1682817630877028E-14</v>
      </c>
      <c r="F287" s="213">
        <f t="shared" si="22"/>
        <v>-3.1271008525314182E-12</v>
      </c>
    </row>
    <row r="288" spans="1:6" x14ac:dyDescent="0.25">
      <c r="A288" s="226">
        <f t="shared" si="24"/>
        <v>52413</v>
      </c>
      <c r="B288" s="213">
        <f t="shared" si="23"/>
        <v>-3.1271008525314182E-12</v>
      </c>
      <c r="C288" s="214">
        <f>IF(ROUND(Tableau3626[[#This Row],[Solde début période]],2)&lt;=0,0,$D$2)</f>
        <v>0</v>
      </c>
      <c r="D288" s="214">
        <f t="shared" si="20"/>
        <v>-1.1726628196992819E-14</v>
      </c>
      <c r="E288" s="214">
        <f t="shared" si="21"/>
        <v>1.1726628196992819E-14</v>
      </c>
      <c r="F288" s="213">
        <f t="shared" si="22"/>
        <v>-3.1388274807284112E-12</v>
      </c>
    </row>
    <row r="289" spans="1:6" x14ac:dyDescent="0.25">
      <c r="A289" s="226">
        <f t="shared" si="24"/>
        <v>52444</v>
      </c>
      <c r="B289" s="213">
        <f t="shared" si="23"/>
        <v>-3.1388274807284112E-12</v>
      </c>
      <c r="C289" s="214">
        <f>IF(ROUND(Tableau3626[[#This Row],[Solde début période]],2)&lt;=0,0,$D$2)</f>
        <v>0</v>
      </c>
      <c r="D289" s="214">
        <f t="shared" si="20"/>
        <v>-1.1770603052731542E-14</v>
      </c>
      <c r="E289" s="214">
        <f t="shared" si="21"/>
        <v>1.1770603052731542E-14</v>
      </c>
      <c r="F289" s="213">
        <f t="shared" si="22"/>
        <v>-3.1505980837811426E-12</v>
      </c>
    </row>
    <row r="290" spans="1:6" x14ac:dyDescent="0.25">
      <c r="A290" s="226">
        <f t="shared" si="24"/>
        <v>52475</v>
      </c>
      <c r="B290" s="213">
        <f t="shared" si="23"/>
        <v>-3.1505980837811426E-12</v>
      </c>
      <c r="C290" s="214">
        <f>IF(ROUND(Tableau3626[[#This Row],[Solde début période]],2)&lt;=0,0,$D$2)</f>
        <v>0</v>
      </c>
      <c r="D290" s="214">
        <f t="shared" si="20"/>
        <v>-1.1814742814179284E-14</v>
      </c>
      <c r="E290" s="214">
        <f t="shared" si="21"/>
        <v>1.1814742814179284E-14</v>
      </c>
      <c r="F290" s="213">
        <f t="shared" si="22"/>
        <v>-3.1624128265953221E-12</v>
      </c>
    </row>
    <row r="291" spans="1:6" x14ac:dyDescent="0.25">
      <c r="A291" s="226">
        <f t="shared" si="24"/>
        <v>52505</v>
      </c>
      <c r="B291" s="213">
        <f t="shared" si="23"/>
        <v>-3.1624128265953221E-12</v>
      </c>
      <c r="C291" s="214">
        <f>IF(ROUND(Tableau3626[[#This Row],[Solde début période]],2)&lt;=0,0,$D$2)</f>
        <v>0</v>
      </c>
      <c r="D291" s="214">
        <f t="shared" si="20"/>
        <v>-1.1859048099732457E-14</v>
      </c>
      <c r="E291" s="214">
        <f t="shared" si="21"/>
        <v>1.1859048099732457E-14</v>
      </c>
      <c r="F291" s="213">
        <f t="shared" si="22"/>
        <v>-3.1742718746950545E-12</v>
      </c>
    </row>
    <row r="292" spans="1:6" x14ac:dyDescent="0.25">
      <c r="A292" s="226">
        <f t="shared" si="24"/>
        <v>52536</v>
      </c>
      <c r="B292" s="213">
        <f t="shared" si="23"/>
        <v>-3.1742718746950545E-12</v>
      </c>
      <c r="C292" s="214">
        <f>IF(ROUND(Tableau3626[[#This Row],[Solde début période]],2)&lt;=0,0,$D$2)</f>
        <v>0</v>
      </c>
      <c r="D292" s="214">
        <f t="shared" si="20"/>
        <v>-1.1903519530106454E-14</v>
      </c>
      <c r="E292" s="214">
        <f t="shared" si="21"/>
        <v>1.1903519530106454E-14</v>
      </c>
      <c r="F292" s="213">
        <f t="shared" si="22"/>
        <v>-3.1861753942251612E-12</v>
      </c>
    </row>
    <row r="293" spans="1:6" x14ac:dyDescent="0.25">
      <c r="A293" s="226">
        <f t="shared" si="24"/>
        <v>52566</v>
      </c>
      <c r="B293" s="213">
        <f t="shared" si="23"/>
        <v>-3.1861753942251612E-12</v>
      </c>
      <c r="C293" s="214">
        <f>IF(ROUND(Tableau3626[[#This Row],[Solde début période]],2)&lt;=0,0,$D$2)</f>
        <v>0</v>
      </c>
      <c r="D293" s="214">
        <f t="shared" si="20"/>
        <v>-1.1948157728344354E-14</v>
      </c>
      <c r="E293" s="214">
        <f t="shared" si="21"/>
        <v>1.1948157728344354E-14</v>
      </c>
      <c r="F293" s="213">
        <f t="shared" si="22"/>
        <v>-3.1981235519535055E-12</v>
      </c>
    </row>
    <row r="294" spans="1:6" x14ac:dyDescent="0.25">
      <c r="A294" s="226">
        <f t="shared" si="24"/>
        <v>52597</v>
      </c>
      <c r="B294" s="213">
        <f t="shared" si="23"/>
        <v>-3.1981235519535055E-12</v>
      </c>
      <c r="C294" s="214">
        <f>IF(ROUND(Tableau3626[[#This Row],[Solde début période]],2)&lt;=0,0,$D$2)</f>
        <v>0</v>
      </c>
      <c r="D294" s="214">
        <f t="shared" si="20"/>
        <v>-1.1992963319825645E-14</v>
      </c>
      <c r="E294" s="214">
        <f t="shared" si="21"/>
        <v>1.1992963319825645E-14</v>
      </c>
      <c r="F294" s="213">
        <f t="shared" si="22"/>
        <v>-3.2101165152733311E-12</v>
      </c>
    </row>
    <row r="295" spans="1:6" x14ac:dyDescent="0.25">
      <c r="A295" s="226">
        <f t="shared" si="24"/>
        <v>52628</v>
      </c>
      <c r="B295" s="213">
        <f t="shared" si="23"/>
        <v>-3.2101165152733311E-12</v>
      </c>
      <c r="C295" s="214">
        <f>IF(ROUND(Tableau3626[[#This Row],[Solde début période]],2)&lt;=0,0,$D$2)</f>
        <v>0</v>
      </c>
      <c r="D295" s="214">
        <f t="shared" si="20"/>
        <v>-1.203793693227499E-14</v>
      </c>
      <c r="E295" s="214">
        <f t="shared" si="21"/>
        <v>1.203793693227499E-14</v>
      </c>
      <c r="F295" s="213">
        <f t="shared" si="22"/>
        <v>-3.2221544522056061E-12</v>
      </c>
    </row>
    <row r="296" spans="1:6" x14ac:dyDescent="0.25">
      <c r="A296" s="226">
        <f t="shared" si="24"/>
        <v>52657</v>
      </c>
      <c r="B296" s="213">
        <f t="shared" si="23"/>
        <v>-3.2221544522056061E-12</v>
      </c>
      <c r="C296" s="214">
        <f>IF(ROUND(Tableau3626[[#This Row],[Solde début période]],2)&lt;=0,0,$D$2)</f>
        <v>0</v>
      </c>
      <c r="D296" s="214">
        <f t="shared" si="20"/>
        <v>-1.2083079195771022E-14</v>
      </c>
      <c r="E296" s="214">
        <f t="shared" si="21"/>
        <v>1.2083079195771022E-14</v>
      </c>
      <c r="F296" s="213">
        <f t="shared" si="22"/>
        <v>-3.234237531401377E-12</v>
      </c>
    </row>
    <row r="297" spans="1:6" x14ac:dyDescent="0.25">
      <c r="A297" s="226">
        <f t="shared" si="24"/>
        <v>52688</v>
      </c>
      <c r="B297" s="213">
        <f t="shared" si="23"/>
        <v>-3.234237531401377E-12</v>
      </c>
      <c r="C297" s="214">
        <f>IF(ROUND(Tableau3626[[#This Row],[Solde début période]],2)&lt;=0,0,$D$2)</f>
        <v>0</v>
      </c>
      <c r="D297" s="214">
        <f t="shared" si="20"/>
        <v>-1.2128390742755163E-14</v>
      </c>
      <c r="E297" s="214">
        <f t="shared" si="21"/>
        <v>1.2128390742755163E-14</v>
      </c>
      <c r="F297" s="213">
        <f t="shared" si="22"/>
        <v>-3.2463659221441324E-12</v>
      </c>
    </row>
    <row r="298" spans="1:6" x14ac:dyDescent="0.25">
      <c r="A298" s="226">
        <f t="shared" si="24"/>
        <v>52718</v>
      </c>
      <c r="B298" s="213">
        <f t="shared" si="23"/>
        <v>-3.2463659221441324E-12</v>
      </c>
      <c r="C298" s="214">
        <f>IF(ROUND(Tableau3626[[#This Row],[Solde début période]],2)&lt;=0,0,$D$2)</f>
        <v>0</v>
      </c>
      <c r="D298" s="214">
        <f t="shared" si="20"/>
        <v>-1.2173872208040497E-14</v>
      </c>
      <c r="E298" s="214">
        <f t="shared" si="21"/>
        <v>1.2173872208040497E-14</v>
      </c>
      <c r="F298" s="213">
        <f t="shared" si="22"/>
        <v>-3.258539794352173E-12</v>
      </c>
    </row>
    <row r="299" spans="1:6" x14ac:dyDescent="0.25">
      <c r="A299" s="226">
        <f t="shared" si="24"/>
        <v>52749</v>
      </c>
      <c r="B299" s="213">
        <f t="shared" si="23"/>
        <v>-3.258539794352173E-12</v>
      </c>
      <c r="C299" s="214">
        <f>IF(ROUND(Tableau3626[[#This Row],[Solde début période]],2)&lt;=0,0,$D$2)</f>
        <v>0</v>
      </c>
      <c r="D299" s="214">
        <f t="shared" si="20"/>
        <v>-1.2219524228820648E-14</v>
      </c>
      <c r="E299" s="214">
        <f t="shared" si="21"/>
        <v>1.2219524228820648E-14</v>
      </c>
      <c r="F299" s="213">
        <f t="shared" si="22"/>
        <v>-3.2707593185809937E-12</v>
      </c>
    </row>
    <row r="300" spans="1:6" x14ac:dyDescent="0.25">
      <c r="A300" s="226">
        <f t="shared" si="24"/>
        <v>52779</v>
      </c>
      <c r="B300" s="213">
        <f t="shared" si="23"/>
        <v>-3.2707593185809937E-12</v>
      </c>
      <c r="C300" s="214">
        <f>IF(ROUND(Tableau3626[[#This Row],[Solde début période]],2)&lt;=0,0,$D$2)</f>
        <v>0</v>
      </c>
      <c r="D300" s="214">
        <f t="shared" si="20"/>
        <v>-1.2265347444678725E-14</v>
      </c>
      <c r="E300" s="214">
        <f t="shared" si="21"/>
        <v>1.2265347444678725E-14</v>
      </c>
      <c r="F300" s="213">
        <f t="shared" si="22"/>
        <v>-3.2830246660256725E-12</v>
      </c>
    </row>
    <row r="301" spans="1:6" x14ac:dyDescent="0.25">
      <c r="A301" s="226">
        <f t="shared" si="24"/>
        <v>52810</v>
      </c>
      <c r="B301" s="213">
        <f t="shared" si="23"/>
        <v>-3.2830246660256725E-12</v>
      </c>
      <c r="C301" s="214">
        <f>IF(ROUND(Tableau3626[[#This Row],[Solde début période]],2)&lt;=0,0,$D$2)</f>
        <v>0</v>
      </c>
      <c r="D301" s="214">
        <f t="shared" si="20"/>
        <v>-1.2311342497596271E-14</v>
      </c>
      <c r="E301" s="214">
        <f t="shared" si="21"/>
        <v>1.2311342497596271E-14</v>
      </c>
      <c r="F301" s="213">
        <f t="shared" si="22"/>
        <v>-3.2953360085232687E-12</v>
      </c>
    </row>
    <row r="302" spans="1:6" x14ac:dyDescent="0.25">
      <c r="A302" s="226">
        <f t="shared" si="24"/>
        <v>52841</v>
      </c>
      <c r="B302" s="213">
        <f t="shared" si="23"/>
        <v>-3.2953360085232687E-12</v>
      </c>
      <c r="C302" s="214">
        <f>IF(ROUND(Tableau3626[[#This Row],[Solde début période]],2)&lt;=0,0,$D$2)</f>
        <v>0</v>
      </c>
      <c r="D302" s="214">
        <f t="shared" si="20"/>
        <v>-1.2357510031962257E-14</v>
      </c>
      <c r="E302" s="214">
        <f t="shared" si="21"/>
        <v>1.2357510031962257E-14</v>
      </c>
      <c r="F302" s="213">
        <f t="shared" si="22"/>
        <v>-3.3076935185552311E-12</v>
      </c>
    </row>
    <row r="303" spans="1:6" x14ac:dyDescent="0.25">
      <c r="A303" s="226">
        <f t="shared" si="24"/>
        <v>52871</v>
      </c>
      <c r="B303" s="213">
        <f t="shared" si="23"/>
        <v>-3.3076935185552311E-12</v>
      </c>
      <c r="C303" s="214">
        <f>IF(ROUND(Tableau3626[[#This Row],[Solde début période]],2)&lt;=0,0,$D$2)</f>
        <v>0</v>
      </c>
      <c r="D303" s="214">
        <f t="shared" si="20"/>
        <v>-1.2403850694582116E-14</v>
      </c>
      <c r="E303" s="214">
        <f t="shared" si="21"/>
        <v>1.2403850694582116E-14</v>
      </c>
      <c r="F303" s="213">
        <f t="shared" si="22"/>
        <v>-3.3200973692498132E-12</v>
      </c>
    </row>
    <row r="304" spans="1:6" x14ac:dyDescent="0.25">
      <c r="A304" s="226">
        <f t="shared" si="24"/>
        <v>52902</v>
      </c>
      <c r="B304" s="213">
        <f t="shared" si="23"/>
        <v>-3.3200973692498132E-12</v>
      </c>
      <c r="C304" s="214">
        <f>IF(ROUND(Tableau3626[[#This Row],[Solde début période]],2)&lt;=0,0,$D$2)</f>
        <v>0</v>
      </c>
      <c r="D304" s="214">
        <f t="shared" si="20"/>
        <v>-1.24503651346868E-14</v>
      </c>
      <c r="E304" s="214">
        <f t="shared" si="21"/>
        <v>1.24503651346868E-14</v>
      </c>
      <c r="F304" s="213">
        <f t="shared" si="22"/>
        <v>-3.3325477343845E-12</v>
      </c>
    </row>
    <row r="305" spans="1:6" x14ac:dyDescent="0.25">
      <c r="A305" s="226">
        <f t="shared" si="24"/>
        <v>52932</v>
      </c>
      <c r="B305" s="213">
        <f t="shared" si="23"/>
        <v>-3.3325477343845E-12</v>
      </c>
      <c r="C305" s="214">
        <f>IF(ROUND(Tableau3626[[#This Row],[Solde début période]],2)&lt;=0,0,$D$2)</f>
        <v>0</v>
      </c>
      <c r="D305" s="214">
        <f t="shared" si="20"/>
        <v>-1.2497054003941874E-14</v>
      </c>
      <c r="E305" s="214">
        <f t="shared" si="21"/>
        <v>1.2497054003941874E-14</v>
      </c>
      <c r="F305" s="213">
        <f t="shared" si="22"/>
        <v>-3.3450447883884421E-12</v>
      </c>
    </row>
    <row r="306" spans="1:6" x14ac:dyDescent="0.25">
      <c r="A306" s="226">
        <f t="shared" si="24"/>
        <v>52963</v>
      </c>
      <c r="B306" s="213">
        <f t="shared" si="23"/>
        <v>-3.3450447883884421E-12</v>
      </c>
      <c r="C306" s="214">
        <f>IF(ROUND(Tableau3626[[#This Row],[Solde début période]],2)&lt;=0,0,$D$2)</f>
        <v>0</v>
      </c>
      <c r="D306" s="214">
        <f t="shared" si="20"/>
        <v>-1.2543917956456657E-14</v>
      </c>
      <c r="E306" s="214">
        <f t="shared" si="21"/>
        <v>1.2543917956456657E-14</v>
      </c>
      <c r="F306" s="213">
        <f t="shared" si="22"/>
        <v>-3.3575887063448987E-12</v>
      </c>
    </row>
    <row r="307" spans="1:6" x14ac:dyDescent="0.25">
      <c r="A307" s="226">
        <f t="shared" si="24"/>
        <v>52994</v>
      </c>
      <c r="B307" s="213">
        <f t="shared" si="23"/>
        <v>-3.3575887063448987E-12</v>
      </c>
      <c r="C307" s="214">
        <f>IF(ROUND(Tableau3626[[#This Row],[Solde début période]],2)&lt;=0,0,$D$2)</f>
        <v>0</v>
      </c>
      <c r="D307" s="214">
        <f t="shared" si="20"/>
        <v>-1.2590957648793369E-14</v>
      </c>
      <c r="E307" s="214">
        <f t="shared" si="21"/>
        <v>1.2590957648793369E-14</v>
      </c>
      <c r="F307" s="213">
        <f t="shared" si="22"/>
        <v>-3.3701796639936922E-12</v>
      </c>
    </row>
    <row r="308" spans="1:6" x14ac:dyDescent="0.25">
      <c r="A308" s="226">
        <f t="shared" si="24"/>
        <v>53022</v>
      </c>
      <c r="B308" s="213">
        <f t="shared" si="23"/>
        <v>-3.3701796639936922E-12</v>
      </c>
      <c r="C308" s="214">
        <f>IF(ROUND(Tableau3626[[#This Row],[Solde début période]],2)&lt;=0,0,$D$2)</f>
        <v>0</v>
      </c>
      <c r="D308" s="214">
        <f t="shared" si="20"/>
        <v>-1.2638173739976345E-14</v>
      </c>
      <c r="E308" s="214">
        <f t="shared" si="21"/>
        <v>1.2638173739976345E-14</v>
      </c>
      <c r="F308" s="213">
        <f t="shared" si="22"/>
        <v>-3.3828178377336687E-12</v>
      </c>
    </row>
    <row r="309" spans="1:6" x14ac:dyDescent="0.25">
      <c r="A309" s="226">
        <f t="shared" si="24"/>
        <v>53053</v>
      </c>
      <c r="B309" s="213">
        <f t="shared" si="23"/>
        <v>-3.3828178377336687E-12</v>
      </c>
      <c r="C309" s="214">
        <f>IF(ROUND(Tableau3626[[#This Row],[Solde début période]],2)&lt;=0,0,$D$2)</f>
        <v>0</v>
      </c>
      <c r="D309" s="214">
        <f t="shared" si="20"/>
        <v>-1.2685566891501256E-14</v>
      </c>
      <c r="E309" s="214">
        <f t="shared" si="21"/>
        <v>1.2685566891501256E-14</v>
      </c>
      <c r="F309" s="213">
        <f t="shared" si="22"/>
        <v>-3.3955034046251701E-12</v>
      </c>
    </row>
    <row r="310" spans="1:6" x14ac:dyDescent="0.25">
      <c r="A310" s="226">
        <f t="shared" si="24"/>
        <v>53083</v>
      </c>
      <c r="B310" s="213">
        <f t="shared" si="23"/>
        <v>-3.3955034046251701E-12</v>
      </c>
      <c r="C310" s="214">
        <f>IF(ROUND(Tableau3626[[#This Row],[Solde début période]],2)&lt;=0,0,$D$2)</f>
        <v>0</v>
      </c>
      <c r="D310" s="214">
        <f t="shared" si="20"/>
        <v>-1.2733137767344388E-14</v>
      </c>
      <c r="E310" s="214">
        <f t="shared" si="21"/>
        <v>1.2733137767344388E-14</v>
      </c>
      <c r="F310" s="213">
        <f t="shared" si="22"/>
        <v>-3.4082365423925145E-12</v>
      </c>
    </row>
    <row r="311" spans="1:6" x14ac:dyDescent="0.25">
      <c r="A311" s="226">
        <f t="shared" si="24"/>
        <v>53114</v>
      </c>
      <c r="B311" s="213">
        <f t="shared" si="23"/>
        <v>-3.4082365423925145E-12</v>
      </c>
      <c r="C311" s="214">
        <f>IF(ROUND(Tableau3626[[#This Row],[Solde début période]],2)&lt;=0,0,$D$2)</f>
        <v>0</v>
      </c>
      <c r="D311" s="214">
        <f t="shared" si="20"/>
        <v>-1.2780887033971929E-14</v>
      </c>
      <c r="E311" s="214">
        <f t="shared" si="21"/>
        <v>1.2780887033971929E-14</v>
      </c>
      <c r="F311" s="213">
        <f t="shared" si="22"/>
        <v>-3.4210174294264862E-12</v>
      </c>
    </row>
    <row r="312" spans="1:6" x14ac:dyDescent="0.25">
      <c r="A312" s="226">
        <f t="shared" si="24"/>
        <v>53144</v>
      </c>
      <c r="B312" s="213">
        <f t="shared" si="23"/>
        <v>-3.4210174294264862E-12</v>
      </c>
      <c r="C312" s="214">
        <f>IF(ROUND(Tableau3626[[#This Row],[Solde début période]],2)&lt;=0,0,$D$2)</f>
        <v>0</v>
      </c>
      <c r="D312" s="214">
        <f t="shared" si="20"/>
        <v>-1.2828815360349323E-14</v>
      </c>
      <c r="E312" s="214">
        <f t="shared" si="21"/>
        <v>1.2828815360349323E-14</v>
      </c>
      <c r="F312" s="213">
        <f t="shared" si="22"/>
        <v>-3.4338462447868354E-12</v>
      </c>
    </row>
    <row r="313" spans="1:6" x14ac:dyDescent="0.25">
      <c r="A313" s="226">
        <f t="shared" si="24"/>
        <v>53175</v>
      </c>
      <c r="B313" s="213">
        <f t="shared" si="23"/>
        <v>-3.4338462447868354E-12</v>
      </c>
      <c r="C313" s="214">
        <f>IF(ROUND(Tableau3626[[#This Row],[Solde début période]],2)&lt;=0,0,$D$2)</f>
        <v>0</v>
      </c>
      <c r="D313" s="214">
        <f t="shared" si="20"/>
        <v>-1.2876923417950632E-14</v>
      </c>
      <c r="E313" s="214">
        <f t="shared" si="21"/>
        <v>1.2876923417950632E-14</v>
      </c>
      <c r="F313" s="213">
        <f t="shared" si="22"/>
        <v>-3.4467231682047859E-12</v>
      </c>
    </row>
    <row r="314" spans="1:6" x14ac:dyDescent="0.25">
      <c r="A314" s="226">
        <f t="shared" si="24"/>
        <v>53206</v>
      </c>
      <c r="B314" s="213">
        <f t="shared" si="23"/>
        <v>-3.4467231682047859E-12</v>
      </c>
      <c r="C314" s="214">
        <f>IF(ROUND(Tableau3626[[#This Row],[Solde début période]],2)&lt;=0,0,$D$2)</f>
        <v>0</v>
      </c>
      <c r="D314" s="214">
        <f t="shared" si="20"/>
        <v>-1.2925211880767947E-14</v>
      </c>
      <c r="E314" s="214">
        <f t="shared" si="21"/>
        <v>1.2925211880767947E-14</v>
      </c>
      <c r="F314" s="213">
        <f t="shared" si="22"/>
        <v>-3.4596483800855536E-12</v>
      </c>
    </row>
    <row r="315" spans="1:6" x14ac:dyDescent="0.25">
      <c r="A315" s="226">
        <f t="shared" si="24"/>
        <v>53236</v>
      </c>
      <c r="B315" s="213">
        <f t="shared" si="23"/>
        <v>-3.4596483800855536E-12</v>
      </c>
      <c r="C315" s="214">
        <f>IF(ROUND(Tableau3626[[#This Row],[Solde début période]],2)&lt;=0,0,$D$2)</f>
        <v>0</v>
      </c>
      <c r="D315" s="214">
        <f t="shared" si="20"/>
        <v>-1.2973681425320826E-14</v>
      </c>
      <c r="E315" s="214">
        <f t="shared" si="21"/>
        <v>1.2973681425320826E-14</v>
      </c>
      <c r="F315" s="213">
        <f t="shared" si="22"/>
        <v>-3.4726220615108743E-12</v>
      </c>
    </row>
    <row r="316" spans="1:6" x14ac:dyDescent="0.25">
      <c r="A316" s="226">
        <f t="shared" si="24"/>
        <v>53267</v>
      </c>
      <c r="B316" s="213">
        <f t="shared" si="23"/>
        <v>-3.4726220615108743E-12</v>
      </c>
      <c r="C316" s="214">
        <f>IF(ROUND(Tableau3626[[#This Row],[Solde début période]],2)&lt;=0,0,$D$2)</f>
        <v>0</v>
      </c>
      <c r="D316" s="214">
        <f t="shared" si="20"/>
        <v>-1.3022332730665779E-14</v>
      </c>
      <c r="E316" s="214">
        <f t="shared" si="21"/>
        <v>1.3022332730665779E-14</v>
      </c>
      <c r="F316" s="213">
        <f t="shared" si="22"/>
        <v>-3.48564439424154E-12</v>
      </c>
    </row>
    <row r="317" spans="1:6" x14ac:dyDescent="0.25">
      <c r="A317" s="226">
        <f t="shared" si="24"/>
        <v>53297</v>
      </c>
      <c r="B317" s="213">
        <f t="shared" si="23"/>
        <v>-3.48564439424154E-12</v>
      </c>
      <c r="C317" s="214">
        <f>IF(ROUND(Tableau3626[[#This Row],[Solde début période]],2)&lt;=0,0,$D$2)</f>
        <v>0</v>
      </c>
      <c r="D317" s="214">
        <f t="shared" si="20"/>
        <v>-1.3071166478405775E-14</v>
      </c>
      <c r="E317" s="214">
        <f t="shared" si="21"/>
        <v>1.3071166478405775E-14</v>
      </c>
      <c r="F317" s="213">
        <f t="shared" si="22"/>
        <v>-3.4987155607199458E-12</v>
      </c>
    </row>
    <row r="318" spans="1:6" x14ac:dyDescent="0.25">
      <c r="A318" s="226">
        <f t="shared" si="24"/>
        <v>53328</v>
      </c>
      <c r="B318" s="213">
        <f t="shared" si="23"/>
        <v>-3.4987155607199458E-12</v>
      </c>
      <c r="C318" s="214">
        <f>IF(ROUND(Tableau3626[[#This Row],[Solde début période]],2)&lt;=0,0,$D$2)</f>
        <v>0</v>
      </c>
      <c r="D318" s="214">
        <f t="shared" si="20"/>
        <v>-1.3120183352699796E-14</v>
      </c>
      <c r="E318" s="214">
        <f t="shared" si="21"/>
        <v>1.3120183352699796E-14</v>
      </c>
      <c r="F318" s="213">
        <f t="shared" si="22"/>
        <v>-3.5118357440726455E-12</v>
      </c>
    </row>
    <row r="319" spans="1:6" x14ac:dyDescent="0.25">
      <c r="A319" s="226">
        <f t="shared" si="24"/>
        <v>53359</v>
      </c>
      <c r="B319" s="213">
        <f t="shared" si="23"/>
        <v>-3.5118357440726455E-12</v>
      </c>
      <c r="C319" s="214">
        <f>IF(ROUND(Tableau3626[[#This Row],[Solde début période]],2)&lt;=0,0,$D$2)</f>
        <v>0</v>
      </c>
      <c r="D319" s="214">
        <f t="shared" si="20"/>
        <v>-1.316938404027242E-14</v>
      </c>
      <c r="E319" s="214">
        <f t="shared" si="21"/>
        <v>1.316938404027242E-14</v>
      </c>
      <c r="F319" s="213">
        <f t="shared" si="22"/>
        <v>-3.5250051281129179E-12</v>
      </c>
    </row>
    <row r="320" spans="1:6" x14ac:dyDescent="0.25">
      <c r="A320" s="226">
        <f t="shared" si="24"/>
        <v>53387</v>
      </c>
      <c r="B320" s="213">
        <f t="shared" si="23"/>
        <v>-3.5250051281129179E-12</v>
      </c>
      <c r="C320" s="214">
        <f>IF(ROUND(Tableau3626[[#This Row],[Solde début période]],2)&lt;=0,0,$D$2)</f>
        <v>0</v>
      </c>
      <c r="D320" s="214">
        <f t="shared" si="20"/>
        <v>-1.3218769230423442E-14</v>
      </c>
      <c r="E320" s="214">
        <f t="shared" si="21"/>
        <v>1.3218769230423442E-14</v>
      </c>
      <c r="F320" s="213">
        <f t="shared" si="22"/>
        <v>-3.5382238973433415E-12</v>
      </c>
    </row>
    <row r="321" spans="1:6" x14ac:dyDescent="0.25">
      <c r="A321" s="226">
        <f t="shared" si="24"/>
        <v>53418</v>
      </c>
      <c r="B321" s="213">
        <f t="shared" si="23"/>
        <v>-3.5382238973433415E-12</v>
      </c>
      <c r="C321" s="214">
        <f>IF(ROUND(Tableau3626[[#This Row],[Solde début période]],2)&lt;=0,0,$D$2)</f>
        <v>0</v>
      </c>
      <c r="D321" s="214">
        <f t="shared" si="20"/>
        <v>-1.3268339615037531E-14</v>
      </c>
      <c r="E321" s="214">
        <f t="shared" si="21"/>
        <v>1.3268339615037531E-14</v>
      </c>
      <c r="F321" s="213">
        <f t="shared" si="22"/>
        <v>-3.5514922369583792E-12</v>
      </c>
    </row>
    <row r="322" spans="1:6" x14ac:dyDescent="0.25">
      <c r="A322" s="226">
        <f t="shared" si="24"/>
        <v>53448</v>
      </c>
      <c r="B322" s="213">
        <f t="shared" si="23"/>
        <v>-3.5514922369583792E-12</v>
      </c>
      <c r="C322" s="214">
        <f>IF(ROUND(Tableau3626[[#This Row],[Solde début période]],2)&lt;=0,0,$D$2)</f>
        <v>0</v>
      </c>
      <c r="D322" s="214">
        <f t="shared" si="20"/>
        <v>-1.3318095888593921E-14</v>
      </c>
      <c r="E322" s="214">
        <f t="shared" si="21"/>
        <v>1.3318095888593921E-14</v>
      </c>
      <c r="F322" s="213">
        <f t="shared" si="22"/>
        <v>-3.5648103328469732E-12</v>
      </c>
    </row>
    <row r="323" spans="1:6" x14ac:dyDescent="0.25">
      <c r="A323" s="226">
        <f t="shared" si="24"/>
        <v>53479</v>
      </c>
      <c r="B323" s="213">
        <f t="shared" si="23"/>
        <v>-3.5648103328469732E-12</v>
      </c>
      <c r="C323" s="214">
        <f>IF(ROUND(Tableau3626[[#This Row],[Solde début période]],2)&lt;=0,0,$D$2)</f>
        <v>0</v>
      </c>
      <c r="D323" s="214">
        <f t="shared" si="20"/>
        <v>-1.3368038748176149E-14</v>
      </c>
      <c r="E323" s="214">
        <f t="shared" si="21"/>
        <v>1.3368038748176149E-14</v>
      </c>
      <c r="F323" s="213">
        <f t="shared" si="22"/>
        <v>-3.5781783715951492E-12</v>
      </c>
    </row>
    <row r="324" spans="1:6" x14ac:dyDescent="0.25">
      <c r="A324" s="226">
        <f t="shared" si="24"/>
        <v>53509</v>
      </c>
      <c r="B324" s="213">
        <f t="shared" si="23"/>
        <v>-3.5781783715951492E-12</v>
      </c>
      <c r="C324" s="214">
        <f>IF(ROUND(Tableau3626[[#This Row],[Solde début période]],2)&lt;=0,0,$D$2)</f>
        <v>0</v>
      </c>
      <c r="D324" s="214">
        <f t="shared" si="20"/>
        <v>-1.3418168893481809E-14</v>
      </c>
      <c r="E324" s="214">
        <f t="shared" si="21"/>
        <v>1.3418168893481809E-14</v>
      </c>
      <c r="F324" s="213">
        <f t="shared" si="22"/>
        <v>-3.5915965404886308E-12</v>
      </c>
    </row>
    <row r="325" spans="1:6" x14ac:dyDescent="0.25">
      <c r="A325" s="226">
        <f t="shared" si="24"/>
        <v>53540</v>
      </c>
      <c r="B325" s="213">
        <f t="shared" si="23"/>
        <v>-3.5915965404886308E-12</v>
      </c>
      <c r="C325" s="214">
        <f>IF(ROUND(Tableau3626[[#This Row],[Solde début période]],2)&lt;=0,0,$D$2)</f>
        <v>0</v>
      </c>
      <c r="D325" s="214">
        <f t="shared" si="20"/>
        <v>-1.3468487026832365E-14</v>
      </c>
      <c r="E325" s="214">
        <f t="shared" si="21"/>
        <v>1.3468487026832365E-14</v>
      </c>
      <c r="F325" s="213">
        <f t="shared" si="22"/>
        <v>-3.6050650275154632E-12</v>
      </c>
    </row>
    <row r="326" spans="1:6" x14ac:dyDescent="0.25">
      <c r="A326" s="226">
        <f t="shared" si="24"/>
        <v>53571</v>
      </c>
      <c r="B326" s="213">
        <f t="shared" si="23"/>
        <v>-3.6050650275154632E-12</v>
      </c>
      <c r="C326" s="214">
        <f>IF(ROUND(Tableau3626[[#This Row],[Solde début période]],2)&lt;=0,0,$D$2)</f>
        <v>0</v>
      </c>
      <c r="D326" s="214">
        <f t="shared" ref="D326:D377" si="25">B326*($B$2/12)</f>
        <v>-1.3518993853182986E-14</v>
      </c>
      <c r="E326" s="214">
        <f t="shared" ref="E326:E377" si="26">C326-D326</f>
        <v>1.3518993853182986E-14</v>
      </c>
      <c r="F326" s="213">
        <f t="shared" ref="F326:F377" si="27">B326-E326</f>
        <v>-3.618584021368646E-12</v>
      </c>
    </row>
    <row r="327" spans="1:6" x14ac:dyDescent="0.25">
      <c r="A327" s="226">
        <f t="shared" si="24"/>
        <v>53601</v>
      </c>
      <c r="B327" s="213">
        <f t="shared" ref="B327:B377" si="28">F326</f>
        <v>-3.618584021368646E-12</v>
      </c>
      <c r="C327" s="214">
        <f>IF(ROUND(Tableau3626[[#This Row],[Solde début période]],2)&lt;=0,0,$D$2)</f>
        <v>0</v>
      </c>
      <c r="D327" s="214">
        <f t="shared" si="25"/>
        <v>-1.3569690080132423E-14</v>
      </c>
      <c r="E327" s="214">
        <f t="shared" si="26"/>
        <v>1.3569690080132423E-14</v>
      </c>
      <c r="F327" s="213">
        <f t="shared" si="27"/>
        <v>-3.6321537114487784E-12</v>
      </c>
    </row>
    <row r="328" spans="1:6" x14ac:dyDescent="0.25">
      <c r="A328" s="226">
        <f t="shared" ref="A328:A377" si="29">EDATE(A327,1)</f>
        <v>53632</v>
      </c>
      <c r="B328" s="213">
        <f t="shared" si="28"/>
        <v>-3.6321537114487784E-12</v>
      </c>
      <c r="C328" s="214">
        <f>IF(ROUND(Tableau3626[[#This Row],[Solde début période]],2)&lt;=0,0,$D$2)</f>
        <v>0</v>
      </c>
      <c r="D328" s="214">
        <f t="shared" si="25"/>
        <v>-1.3620576417932918E-14</v>
      </c>
      <c r="E328" s="214">
        <f t="shared" si="26"/>
        <v>1.3620576417932918E-14</v>
      </c>
      <c r="F328" s="213">
        <f t="shared" si="27"/>
        <v>-3.6457742878667114E-12</v>
      </c>
    </row>
    <row r="329" spans="1:6" x14ac:dyDescent="0.25">
      <c r="A329" s="226">
        <f t="shared" si="29"/>
        <v>53662</v>
      </c>
      <c r="B329" s="213">
        <f t="shared" si="28"/>
        <v>-3.6457742878667114E-12</v>
      </c>
      <c r="C329" s="214">
        <f>IF(ROUND(Tableau3626[[#This Row],[Solde début période]],2)&lt;=0,0,$D$2)</f>
        <v>0</v>
      </c>
      <c r="D329" s="214">
        <f t="shared" si="25"/>
        <v>-1.3671653579500167E-14</v>
      </c>
      <c r="E329" s="214">
        <f t="shared" si="26"/>
        <v>1.3671653579500167E-14</v>
      </c>
      <c r="F329" s="213">
        <f t="shared" si="27"/>
        <v>-3.6594459414462119E-12</v>
      </c>
    </row>
    <row r="330" spans="1:6" x14ac:dyDescent="0.25">
      <c r="A330" s="226">
        <f t="shared" si="29"/>
        <v>53693</v>
      </c>
      <c r="B330" s="213">
        <f t="shared" si="28"/>
        <v>-3.6594459414462119E-12</v>
      </c>
      <c r="C330" s="214">
        <f>IF(ROUND(Tableau3626[[#This Row],[Solde début période]],2)&lt;=0,0,$D$2)</f>
        <v>0</v>
      </c>
      <c r="D330" s="214">
        <f t="shared" si="25"/>
        <v>-1.3722922280423295E-14</v>
      </c>
      <c r="E330" s="214">
        <f t="shared" si="26"/>
        <v>1.3722922280423295E-14</v>
      </c>
      <c r="F330" s="213">
        <f t="shared" si="27"/>
        <v>-3.6731688637266349E-12</v>
      </c>
    </row>
    <row r="331" spans="1:6" x14ac:dyDescent="0.25">
      <c r="A331" s="226">
        <f t="shared" si="29"/>
        <v>53724</v>
      </c>
      <c r="B331" s="213">
        <f t="shared" si="28"/>
        <v>-3.6731688637266349E-12</v>
      </c>
      <c r="C331" s="214">
        <f>IF(ROUND(Tableau3626[[#This Row],[Solde début période]],2)&lt;=0,0,$D$2)</f>
        <v>0</v>
      </c>
      <c r="D331" s="214">
        <f t="shared" si="25"/>
        <v>-1.3774383238974881E-14</v>
      </c>
      <c r="E331" s="214">
        <f t="shared" si="26"/>
        <v>1.3774383238974881E-14</v>
      </c>
      <c r="F331" s="213">
        <f t="shared" si="27"/>
        <v>-3.6869432469656094E-12</v>
      </c>
    </row>
    <row r="332" spans="1:6" x14ac:dyDescent="0.25">
      <c r="A332" s="226">
        <f t="shared" si="29"/>
        <v>53752</v>
      </c>
      <c r="B332" s="213">
        <f t="shared" si="28"/>
        <v>-3.6869432469656094E-12</v>
      </c>
      <c r="C332" s="214">
        <f>IF(ROUND(Tableau3626[[#This Row],[Solde début période]],2)&lt;=0,0,$D$2)</f>
        <v>0</v>
      </c>
      <c r="D332" s="214">
        <f t="shared" si="25"/>
        <v>-1.3826037176121035E-14</v>
      </c>
      <c r="E332" s="214">
        <f t="shared" si="26"/>
        <v>1.3826037176121035E-14</v>
      </c>
      <c r="F332" s="213">
        <f t="shared" si="27"/>
        <v>-3.7007692841417301E-12</v>
      </c>
    </row>
    <row r="333" spans="1:6" x14ac:dyDescent="0.25">
      <c r="A333" s="226">
        <f t="shared" si="29"/>
        <v>53783</v>
      </c>
      <c r="B333" s="213">
        <f t="shared" si="28"/>
        <v>-3.7007692841417301E-12</v>
      </c>
      <c r="C333" s="214">
        <f>IF(ROUND(Tableau3626[[#This Row],[Solde début période]],2)&lt;=0,0,$D$2)</f>
        <v>0</v>
      </c>
      <c r="D333" s="214">
        <f t="shared" si="25"/>
        <v>-1.3877884815531487E-14</v>
      </c>
      <c r="E333" s="214">
        <f t="shared" si="26"/>
        <v>1.3877884815531487E-14</v>
      </c>
      <c r="F333" s="213">
        <f t="shared" si="27"/>
        <v>-3.7146471689572616E-12</v>
      </c>
    </row>
    <row r="334" spans="1:6" x14ac:dyDescent="0.25">
      <c r="A334" s="226">
        <f t="shared" si="29"/>
        <v>53813</v>
      </c>
      <c r="B334" s="213">
        <f t="shared" si="28"/>
        <v>-3.7146471689572616E-12</v>
      </c>
      <c r="C334" s="214">
        <f>IF(ROUND(Tableau3626[[#This Row],[Solde début période]],2)&lt;=0,0,$D$2)</f>
        <v>0</v>
      </c>
      <c r="D334" s="214">
        <f t="shared" si="25"/>
        <v>-1.392992688358973E-14</v>
      </c>
      <c r="E334" s="214">
        <f t="shared" si="26"/>
        <v>1.392992688358973E-14</v>
      </c>
      <c r="F334" s="213">
        <f t="shared" si="27"/>
        <v>-3.7285770958408517E-12</v>
      </c>
    </row>
    <row r="335" spans="1:6" x14ac:dyDescent="0.25">
      <c r="A335" s="226">
        <f t="shared" si="29"/>
        <v>53844</v>
      </c>
      <c r="B335" s="213">
        <f t="shared" si="28"/>
        <v>-3.7285770958408517E-12</v>
      </c>
      <c r="C335" s="214">
        <f>IF(ROUND(Tableau3626[[#This Row],[Solde début période]],2)&lt;=0,0,$D$2)</f>
        <v>0</v>
      </c>
      <c r="D335" s="214">
        <f t="shared" si="25"/>
        <v>-1.3982164109403193E-14</v>
      </c>
      <c r="E335" s="214">
        <f t="shared" si="26"/>
        <v>1.3982164109403193E-14</v>
      </c>
      <c r="F335" s="213">
        <f t="shared" si="27"/>
        <v>-3.7425592599502547E-12</v>
      </c>
    </row>
    <row r="336" spans="1:6" x14ac:dyDescent="0.25">
      <c r="A336" s="226">
        <f t="shared" si="29"/>
        <v>53874</v>
      </c>
      <c r="B336" s="213">
        <f t="shared" si="28"/>
        <v>-3.7425592599502547E-12</v>
      </c>
      <c r="C336" s="214">
        <f>IF(ROUND(Tableau3626[[#This Row],[Solde début période]],2)&lt;=0,0,$D$2)</f>
        <v>0</v>
      </c>
      <c r="D336" s="214">
        <f t="shared" si="25"/>
        <v>-1.4034597224813454E-14</v>
      </c>
      <c r="E336" s="214">
        <f t="shared" si="26"/>
        <v>1.4034597224813454E-14</v>
      </c>
      <c r="F336" s="213">
        <f t="shared" si="27"/>
        <v>-3.7565938571750681E-12</v>
      </c>
    </row>
    <row r="337" spans="1:6" x14ac:dyDescent="0.25">
      <c r="A337" s="226">
        <f t="shared" si="29"/>
        <v>53905</v>
      </c>
      <c r="B337" s="213">
        <f t="shared" si="28"/>
        <v>-3.7565938571750681E-12</v>
      </c>
      <c r="C337" s="214">
        <f>IF(ROUND(Tableau3626[[#This Row],[Solde début période]],2)&lt;=0,0,$D$2)</f>
        <v>0</v>
      </c>
      <c r="D337" s="214">
        <f t="shared" si="25"/>
        <v>-1.4087226964406505E-14</v>
      </c>
      <c r="E337" s="214">
        <f t="shared" si="26"/>
        <v>1.4087226964406505E-14</v>
      </c>
      <c r="F337" s="213">
        <f t="shared" si="27"/>
        <v>-3.7706810841394742E-12</v>
      </c>
    </row>
    <row r="338" spans="1:6" x14ac:dyDescent="0.25">
      <c r="A338" s="226">
        <f t="shared" si="29"/>
        <v>53936</v>
      </c>
      <c r="B338" s="213">
        <f t="shared" si="28"/>
        <v>-3.7706810841394742E-12</v>
      </c>
      <c r="C338" s="214">
        <f>IF(ROUND(Tableau3626[[#This Row],[Solde début période]],2)&lt;=0,0,$D$2)</f>
        <v>0</v>
      </c>
      <c r="D338" s="214">
        <f t="shared" si="25"/>
        <v>-1.4140054065523028E-14</v>
      </c>
      <c r="E338" s="214">
        <f t="shared" si="26"/>
        <v>1.4140054065523028E-14</v>
      </c>
      <c r="F338" s="213">
        <f t="shared" si="27"/>
        <v>-3.7848211382049973E-12</v>
      </c>
    </row>
    <row r="339" spans="1:6" x14ac:dyDescent="0.25">
      <c r="A339" s="226">
        <f t="shared" si="29"/>
        <v>53966</v>
      </c>
      <c r="B339" s="213">
        <f t="shared" si="28"/>
        <v>-3.7848211382049973E-12</v>
      </c>
      <c r="C339" s="214">
        <f>IF(ROUND(Tableau3626[[#This Row],[Solde début période]],2)&lt;=0,0,$D$2)</f>
        <v>0</v>
      </c>
      <c r="D339" s="214">
        <f t="shared" si="25"/>
        <v>-1.4193079268268739E-14</v>
      </c>
      <c r="E339" s="214">
        <f t="shared" si="26"/>
        <v>1.4193079268268739E-14</v>
      </c>
      <c r="F339" s="213">
        <f t="shared" si="27"/>
        <v>-3.7990142174732659E-12</v>
      </c>
    </row>
    <row r="340" spans="1:6" x14ac:dyDescent="0.25">
      <c r="A340" s="226">
        <f t="shared" si="29"/>
        <v>53997</v>
      </c>
      <c r="B340" s="213">
        <f t="shared" si="28"/>
        <v>-3.7990142174732659E-12</v>
      </c>
      <c r="C340" s="214">
        <f>IF(ROUND(Tableau3626[[#This Row],[Solde début période]],2)&lt;=0,0,$D$2)</f>
        <v>0</v>
      </c>
      <c r="D340" s="214">
        <f t="shared" si="25"/>
        <v>-1.4246303315524747E-14</v>
      </c>
      <c r="E340" s="214">
        <f t="shared" si="26"/>
        <v>1.4246303315524747E-14</v>
      </c>
      <c r="F340" s="213">
        <f t="shared" si="27"/>
        <v>-3.8132605207887905E-12</v>
      </c>
    </row>
    <row r="341" spans="1:6" x14ac:dyDescent="0.25">
      <c r="A341" s="226">
        <f t="shared" si="29"/>
        <v>54027</v>
      </c>
      <c r="B341" s="213">
        <f t="shared" si="28"/>
        <v>-3.8132605207887905E-12</v>
      </c>
      <c r="C341" s="214">
        <f>IF(ROUND(Tableau3626[[#This Row],[Solde début période]],2)&lt;=0,0,$D$2)</f>
        <v>0</v>
      </c>
      <c r="D341" s="214">
        <f t="shared" si="25"/>
        <v>-1.4299726952957963E-14</v>
      </c>
      <c r="E341" s="214">
        <f t="shared" si="26"/>
        <v>1.4299726952957963E-14</v>
      </c>
      <c r="F341" s="213">
        <f t="shared" si="27"/>
        <v>-3.8275602477417485E-12</v>
      </c>
    </row>
    <row r="342" spans="1:6" x14ac:dyDescent="0.25">
      <c r="A342" s="226">
        <f t="shared" si="29"/>
        <v>54058</v>
      </c>
      <c r="B342" s="213">
        <f t="shared" si="28"/>
        <v>-3.8275602477417485E-12</v>
      </c>
      <c r="C342" s="214">
        <f>IF(ROUND(Tableau3626[[#This Row],[Solde début période]],2)&lt;=0,0,$D$2)</f>
        <v>0</v>
      </c>
      <c r="D342" s="214">
        <f t="shared" si="25"/>
        <v>-1.4353350929031558E-14</v>
      </c>
      <c r="E342" s="214">
        <f t="shared" si="26"/>
        <v>1.4353350929031558E-14</v>
      </c>
      <c r="F342" s="213">
        <f t="shared" si="27"/>
        <v>-3.8419135986707799E-12</v>
      </c>
    </row>
    <row r="343" spans="1:6" x14ac:dyDescent="0.25">
      <c r="A343" s="226">
        <f t="shared" si="29"/>
        <v>54089</v>
      </c>
      <c r="B343" s="213">
        <f t="shared" si="28"/>
        <v>-3.8419135986707799E-12</v>
      </c>
      <c r="C343" s="214">
        <f>IF(ROUND(Tableau3626[[#This Row],[Solde début période]],2)&lt;=0,0,$D$2)</f>
        <v>0</v>
      </c>
      <c r="D343" s="214">
        <f t="shared" si="25"/>
        <v>-1.4407175995015424E-14</v>
      </c>
      <c r="E343" s="214">
        <f t="shared" si="26"/>
        <v>1.4407175995015424E-14</v>
      </c>
      <c r="F343" s="213">
        <f t="shared" si="27"/>
        <v>-3.8563207746657955E-12</v>
      </c>
    </row>
    <row r="344" spans="1:6" x14ac:dyDescent="0.25">
      <c r="A344" s="226">
        <f t="shared" si="29"/>
        <v>54118</v>
      </c>
      <c r="B344" s="213">
        <f t="shared" si="28"/>
        <v>-3.8563207746657955E-12</v>
      </c>
      <c r="C344" s="214">
        <f>IF(ROUND(Tableau3626[[#This Row],[Solde début période]],2)&lt;=0,0,$D$2)</f>
        <v>0</v>
      </c>
      <c r="D344" s="214">
        <f t="shared" si="25"/>
        <v>-1.4461202904996734E-14</v>
      </c>
      <c r="E344" s="214">
        <f t="shared" si="26"/>
        <v>1.4461202904996734E-14</v>
      </c>
      <c r="F344" s="213">
        <f t="shared" si="27"/>
        <v>-3.8707819775707926E-12</v>
      </c>
    </row>
    <row r="345" spans="1:6" x14ac:dyDescent="0.25">
      <c r="A345" s="226">
        <f t="shared" si="29"/>
        <v>54149</v>
      </c>
      <c r="B345" s="213">
        <f t="shared" si="28"/>
        <v>-3.8707819775707926E-12</v>
      </c>
      <c r="C345" s="214">
        <f>IF(ROUND(Tableau3626[[#This Row],[Solde début période]],2)&lt;=0,0,$D$2)</f>
        <v>0</v>
      </c>
      <c r="D345" s="214">
        <f t="shared" si="25"/>
        <v>-1.4515432415890473E-14</v>
      </c>
      <c r="E345" s="214">
        <f t="shared" si="26"/>
        <v>1.4515432415890473E-14</v>
      </c>
      <c r="F345" s="213">
        <f t="shared" si="27"/>
        <v>-3.8852974099866833E-12</v>
      </c>
    </row>
    <row r="346" spans="1:6" x14ac:dyDescent="0.25">
      <c r="A346" s="226">
        <f t="shared" si="29"/>
        <v>54179</v>
      </c>
      <c r="B346" s="213">
        <f t="shared" si="28"/>
        <v>-3.8852974099866833E-12</v>
      </c>
      <c r="C346" s="214">
        <f>IF(ROUND(Tableau3626[[#This Row],[Solde début période]],2)&lt;=0,0,$D$2)</f>
        <v>0</v>
      </c>
      <c r="D346" s="214">
        <f t="shared" si="25"/>
        <v>-1.4569865287450063E-14</v>
      </c>
      <c r="E346" s="214">
        <f t="shared" si="26"/>
        <v>1.4569865287450063E-14</v>
      </c>
      <c r="F346" s="213">
        <f t="shared" si="27"/>
        <v>-3.8998672752741337E-12</v>
      </c>
    </row>
    <row r="347" spans="1:6" x14ac:dyDescent="0.25">
      <c r="A347" s="226">
        <f t="shared" si="29"/>
        <v>54210</v>
      </c>
      <c r="B347" s="213">
        <f t="shared" si="28"/>
        <v>-3.8998672752741337E-12</v>
      </c>
      <c r="C347" s="214">
        <f>IF(ROUND(Tableau3626[[#This Row],[Solde début période]],2)&lt;=0,0,$D$2)</f>
        <v>0</v>
      </c>
      <c r="D347" s="214">
        <f t="shared" si="25"/>
        <v>-1.4624502282278002E-14</v>
      </c>
      <c r="E347" s="214">
        <f t="shared" si="26"/>
        <v>1.4624502282278002E-14</v>
      </c>
      <c r="F347" s="213">
        <f t="shared" si="27"/>
        <v>-3.9144917775564114E-12</v>
      </c>
    </row>
    <row r="348" spans="1:6" x14ac:dyDescent="0.25">
      <c r="A348" s="226">
        <f t="shared" si="29"/>
        <v>54240</v>
      </c>
      <c r="B348" s="213">
        <f t="shared" si="28"/>
        <v>-3.9144917775564114E-12</v>
      </c>
      <c r="C348" s="214">
        <f>IF(ROUND(Tableau3626[[#This Row],[Solde début période]],2)&lt;=0,0,$D$2)</f>
        <v>0</v>
      </c>
      <c r="D348" s="214">
        <f t="shared" si="25"/>
        <v>-1.4679344165836544E-14</v>
      </c>
      <c r="E348" s="214">
        <f t="shared" si="26"/>
        <v>1.4679344165836544E-14</v>
      </c>
      <c r="F348" s="213">
        <f t="shared" si="27"/>
        <v>-3.9291711217222477E-12</v>
      </c>
    </row>
    <row r="349" spans="1:6" x14ac:dyDescent="0.25">
      <c r="A349" s="226">
        <f t="shared" si="29"/>
        <v>54271</v>
      </c>
      <c r="B349" s="213">
        <f t="shared" si="28"/>
        <v>-3.9291711217222477E-12</v>
      </c>
      <c r="C349" s="214">
        <f>IF(ROUND(Tableau3626[[#This Row],[Solde début période]],2)&lt;=0,0,$D$2)</f>
        <v>0</v>
      </c>
      <c r="D349" s="214">
        <f t="shared" si="25"/>
        <v>-1.4734391706458428E-14</v>
      </c>
      <c r="E349" s="214">
        <f t="shared" si="26"/>
        <v>1.4734391706458428E-14</v>
      </c>
      <c r="F349" s="213">
        <f t="shared" si="27"/>
        <v>-3.9439055134287059E-12</v>
      </c>
    </row>
    <row r="350" spans="1:6" x14ac:dyDescent="0.25">
      <c r="A350" s="226">
        <f t="shared" si="29"/>
        <v>54302</v>
      </c>
      <c r="B350" s="213">
        <f t="shared" si="28"/>
        <v>-3.9439055134287059E-12</v>
      </c>
      <c r="C350" s="214">
        <f>IF(ROUND(Tableau3626[[#This Row],[Solde début période]],2)&lt;=0,0,$D$2)</f>
        <v>0</v>
      </c>
      <c r="D350" s="214">
        <f t="shared" si="25"/>
        <v>-1.4789645675357645E-14</v>
      </c>
      <c r="E350" s="214">
        <f t="shared" si="26"/>
        <v>1.4789645675357645E-14</v>
      </c>
      <c r="F350" s="213">
        <f t="shared" si="27"/>
        <v>-3.9586951591040634E-12</v>
      </c>
    </row>
    <row r="351" spans="1:6" x14ac:dyDescent="0.25">
      <c r="A351" s="226">
        <f t="shared" si="29"/>
        <v>54332</v>
      </c>
      <c r="B351" s="213">
        <f t="shared" si="28"/>
        <v>-3.9586951591040634E-12</v>
      </c>
      <c r="C351" s="214">
        <f>IF(ROUND(Tableau3626[[#This Row],[Solde début période]],2)&lt;=0,0,$D$2)</f>
        <v>0</v>
      </c>
      <c r="D351" s="214">
        <f t="shared" si="25"/>
        <v>-1.4845106846640238E-14</v>
      </c>
      <c r="E351" s="214">
        <f t="shared" si="26"/>
        <v>1.4845106846640238E-14</v>
      </c>
      <c r="F351" s="213">
        <f t="shared" si="27"/>
        <v>-3.9735402659507033E-12</v>
      </c>
    </row>
    <row r="352" spans="1:6" x14ac:dyDescent="0.25">
      <c r="A352" s="226">
        <f t="shared" si="29"/>
        <v>54363</v>
      </c>
      <c r="B352" s="213">
        <f t="shared" si="28"/>
        <v>-3.9735402659507033E-12</v>
      </c>
      <c r="C352" s="214">
        <f>IF(ROUND(Tableau3626[[#This Row],[Solde début période]],2)&lt;=0,0,$D$2)</f>
        <v>0</v>
      </c>
      <c r="D352" s="214">
        <f t="shared" si="25"/>
        <v>-1.4900775997315138E-14</v>
      </c>
      <c r="E352" s="214">
        <f t="shared" si="26"/>
        <v>1.4900775997315138E-14</v>
      </c>
      <c r="F352" s="213">
        <f t="shared" si="27"/>
        <v>-3.9884410419480185E-12</v>
      </c>
    </row>
    <row r="353" spans="1:6" x14ac:dyDescent="0.25">
      <c r="A353" s="226">
        <f t="shared" si="29"/>
        <v>54393</v>
      </c>
      <c r="B353" s="213">
        <f t="shared" si="28"/>
        <v>-3.9884410419480185E-12</v>
      </c>
      <c r="C353" s="214">
        <f>IF(ROUND(Tableau3626[[#This Row],[Solde début période]],2)&lt;=0,0,$D$2)</f>
        <v>0</v>
      </c>
      <c r="D353" s="214">
        <f t="shared" si="25"/>
        <v>-1.495665390730507E-14</v>
      </c>
      <c r="E353" s="214">
        <f t="shared" si="26"/>
        <v>1.495665390730507E-14</v>
      </c>
      <c r="F353" s="213">
        <f t="shared" si="27"/>
        <v>-4.0033976958553235E-12</v>
      </c>
    </row>
    <row r="354" spans="1:6" x14ac:dyDescent="0.25">
      <c r="A354" s="226">
        <f t="shared" si="29"/>
        <v>54424</v>
      </c>
      <c r="B354" s="213">
        <f t="shared" si="28"/>
        <v>-4.0033976958553235E-12</v>
      </c>
      <c r="C354" s="214">
        <f>IF(ROUND(Tableau3626[[#This Row],[Solde début période]],2)&lt;=0,0,$D$2)</f>
        <v>0</v>
      </c>
      <c r="D354" s="214">
        <f t="shared" si="25"/>
        <v>-1.5012741359457462E-14</v>
      </c>
      <c r="E354" s="214">
        <f t="shared" si="26"/>
        <v>1.5012741359457462E-14</v>
      </c>
      <c r="F354" s="213">
        <f t="shared" si="27"/>
        <v>-4.0184104372147809E-12</v>
      </c>
    </row>
    <row r="355" spans="1:6" x14ac:dyDescent="0.25">
      <c r="A355" s="226">
        <f t="shared" si="29"/>
        <v>54455</v>
      </c>
      <c r="B355" s="213">
        <f t="shared" si="28"/>
        <v>-4.0184104372147809E-12</v>
      </c>
      <c r="C355" s="214">
        <f>IF(ROUND(Tableau3626[[#This Row],[Solde début période]],2)&lt;=0,0,$D$2)</f>
        <v>0</v>
      </c>
      <c r="D355" s="214">
        <f t="shared" si="25"/>
        <v>-1.5069039139555428E-14</v>
      </c>
      <c r="E355" s="214">
        <f t="shared" si="26"/>
        <v>1.5069039139555428E-14</v>
      </c>
      <c r="F355" s="213">
        <f t="shared" si="27"/>
        <v>-4.0334794763543362E-12</v>
      </c>
    </row>
    <row r="356" spans="1:6" x14ac:dyDescent="0.25">
      <c r="A356" s="226">
        <f t="shared" si="29"/>
        <v>54483</v>
      </c>
      <c r="B356" s="213">
        <f t="shared" si="28"/>
        <v>-4.0334794763543362E-12</v>
      </c>
      <c r="C356" s="214">
        <f>IF(ROUND(Tableau3626[[#This Row],[Solde début période]],2)&lt;=0,0,$D$2)</f>
        <v>0</v>
      </c>
      <c r="D356" s="214">
        <f t="shared" si="25"/>
        <v>-1.5125548036328759E-14</v>
      </c>
      <c r="E356" s="214">
        <f t="shared" si="26"/>
        <v>1.5125548036328759E-14</v>
      </c>
      <c r="F356" s="213">
        <f t="shared" si="27"/>
        <v>-4.0486050243906652E-12</v>
      </c>
    </row>
    <row r="357" spans="1:6" x14ac:dyDescent="0.25">
      <c r="A357" s="226">
        <f t="shared" si="29"/>
        <v>54514</v>
      </c>
      <c r="B357" s="213">
        <f t="shared" si="28"/>
        <v>-4.0486050243906652E-12</v>
      </c>
      <c r="C357" s="214">
        <f>IF(ROUND(Tableau3626[[#This Row],[Solde début période]],2)&lt;=0,0,$D$2)</f>
        <v>0</v>
      </c>
      <c r="D357" s="214">
        <f t="shared" si="25"/>
        <v>-1.5182268841464993E-14</v>
      </c>
      <c r="E357" s="214">
        <f t="shared" si="26"/>
        <v>1.5182268841464993E-14</v>
      </c>
      <c r="F357" s="213">
        <f t="shared" si="27"/>
        <v>-4.0637872932321299E-12</v>
      </c>
    </row>
    <row r="358" spans="1:6" x14ac:dyDescent="0.25">
      <c r="A358" s="226">
        <f t="shared" si="29"/>
        <v>54544</v>
      </c>
      <c r="B358" s="213">
        <f t="shared" si="28"/>
        <v>-4.0637872932321299E-12</v>
      </c>
      <c r="C358" s="214">
        <f>IF(ROUND(Tableau3626[[#This Row],[Solde début période]],2)&lt;=0,0,$D$2)</f>
        <v>0</v>
      </c>
      <c r="D358" s="214">
        <f t="shared" si="25"/>
        <v>-1.5239202349620485E-14</v>
      </c>
      <c r="E358" s="214">
        <f t="shared" si="26"/>
        <v>1.5239202349620485E-14</v>
      </c>
      <c r="F358" s="213">
        <f t="shared" si="27"/>
        <v>-4.0790264955817503E-12</v>
      </c>
    </row>
    <row r="359" spans="1:6" x14ac:dyDescent="0.25">
      <c r="A359" s="226">
        <f t="shared" si="29"/>
        <v>54575</v>
      </c>
      <c r="B359" s="213">
        <f t="shared" si="28"/>
        <v>-4.0790264955817503E-12</v>
      </c>
      <c r="C359" s="214">
        <f>IF(ROUND(Tableau3626[[#This Row],[Solde début période]],2)&lt;=0,0,$D$2)</f>
        <v>0</v>
      </c>
      <c r="D359" s="214">
        <f t="shared" si="25"/>
        <v>-1.5296349358431564E-14</v>
      </c>
      <c r="E359" s="214">
        <f t="shared" si="26"/>
        <v>1.5296349358431564E-14</v>
      </c>
      <c r="F359" s="213">
        <f t="shared" si="27"/>
        <v>-4.0943228449401821E-12</v>
      </c>
    </row>
    <row r="360" spans="1:6" x14ac:dyDescent="0.25">
      <c r="A360" s="226">
        <f t="shared" si="29"/>
        <v>54605</v>
      </c>
      <c r="B360" s="213">
        <f t="shared" si="28"/>
        <v>-4.0943228449401821E-12</v>
      </c>
      <c r="C360" s="214">
        <f>IF(ROUND(Tableau3626[[#This Row],[Solde début période]],2)&lt;=0,0,$D$2)</f>
        <v>0</v>
      </c>
      <c r="D360" s="214">
        <f t="shared" si="25"/>
        <v>-1.5353710668525683E-14</v>
      </c>
      <c r="E360" s="214">
        <f t="shared" si="26"/>
        <v>1.5353710668525683E-14</v>
      </c>
      <c r="F360" s="213">
        <f t="shared" si="27"/>
        <v>-4.1096765556087078E-12</v>
      </c>
    </row>
    <row r="361" spans="1:6" x14ac:dyDescent="0.25">
      <c r="A361" s="226">
        <f t="shared" si="29"/>
        <v>54636</v>
      </c>
      <c r="B361" s="213">
        <f t="shared" si="28"/>
        <v>-4.1096765556087078E-12</v>
      </c>
      <c r="C361" s="214">
        <f>IF(ROUND(Tableau3626[[#This Row],[Solde début période]],2)&lt;=0,0,$D$2)</f>
        <v>0</v>
      </c>
      <c r="D361" s="214">
        <f t="shared" si="25"/>
        <v>-1.5411287083532654E-14</v>
      </c>
      <c r="E361" s="214">
        <f t="shared" si="26"/>
        <v>1.5411287083532654E-14</v>
      </c>
      <c r="F361" s="213">
        <f t="shared" si="27"/>
        <v>-4.1250878426922407E-12</v>
      </c>
    </row>
    <row r="362" spans="1:6" x14ac:dyDescent="0.25">
      <c r="A362" s="226">
        <f t="shared" si="29"/>
        <v>54667</v>
      </c>
      <c r="B362" s="213">
        <f t="shared" si="28"/>
        <v>-4.1250878426922407E-12</v>
      </c>
      <c r="C362" s="214">
        <f>IF(ROUND(Tableau3626[[#This Row],[Solde début période]],2)&lt;=0,0,$D$2)</f>
        <v>0</v>
      </c>
      <c r="D362" s="214">
        <f t="shared" si="25"/>
        <v>-1.5469079410095903E-14</v>
      </c>
      <c r="E362" s="214">
        <f t="shared" si="26"/>
        <v>1.5469079410095903E-14</v>
      </c>
      <c r="F362" s="213">
        <f t="shared" si="27"/>
        <v>-4.1405569221023368E-12</v>
      </c>
    </row>
    <row r="363" spans="1:6" x14ac:dyDescent="0.25">
      <c r="A363" s="226">
        <f t="shared" si="29"/>
        <v>54697</v>
      </c>
      <c r="B363" s="213">
        <f t="shared" si="28"/>
        <v>-4.1405569221023368E-12</v>
      </c>
      <c r="C363" s="214">
        <f>IF(ROUND(Tableau3626[[#This Row],[Solde début période]],2)&lt;=0,0,$D$2)</f>
        <v>0</v>
      </c>
      <c r="D363" s="214">
        <f t="shared" si="25"/>
        <v>-1.5527088457883762E-14</v>
      </c>
      <c r="E363" s="214">
        <f t="shared" si="26"/>
        <v>1.5527088457883762E-14</v>
      </c>
      <c r="F363" s="213">
        <f t="shared" si="27"/>
        <v>-4.1560840105602204E-12</v>
      </c>
    </row>
    <row r="364" spans="1:6" x14ac:dyDescent="0.25">
      <c r="A364" s="226">
        <f t="shared" si="29"/>
        <v>54728</v>
      </c>
      <c r="B364" s="213">
        <f t="shared" si="28"/>
        <v>-4.1560840105602204E-12</v>
      </c>
      <c r="C364" s="214">
        <f>IF(ROUND(Tableau3626[[#This Row],[Solde début période]],2)&lt;=0,0,$D$2)</f>
        <v>0</v>
      </c>
      <c r="D364" s="214">
        <f t="shared" si="25"/>
        <v>-1.5585315039600824E-14</v>
      </c>
      <c r="E364" s="214">
        <f t="shared" si="26"/>
        <v>1.5585315039600824E-14</v>
      </c>
      <c r="F364" s="213">
        <f t="shared" si="27"/>
        <v>-4.1716693255998208E-12</v>
      </c>
    </row>
    <row r="365" spans="1:6" x14ac:dyDescent="0.25">
      <c r="A365" s="226">
        <f t="shared" si="29"/>
        <v>54758</v>
      </c>
      <c r="B365" s="213">
        <f t="shared" si="28"/>
        <v>-4.1716693255998208E-12</v>
      </c>
      <c r="C365" s="214">
        <f>IF(ROUND(Tableau3626[[#This Row],[Solde début période]],2)&lt;=0,0,$D$2)</f>
        <v>0</v>
      </c>
      <c r="D365" s="214">
        <f t="shared" si="25"/>
        <v>-1.5643759970999326E-14</v>
      </c>
      <c r="E365" s="214">
        <f t="shared" si="26"/>
        <v>1.5643759970999326E-14</v>
      </c>
      <c r="F365" s="213">
        <f t="shared" si="27"/>
        <v>-4.1873130855708202E-12</v>
      </c>
    </row>
    <row r="366" spans="1:6" x14ac:dyDescent="0.25">
      <c r="A366" s="226">
        <f t="shared" si="29"/>
        <v>54789</v>
      </c>
      <c r="B366" s="213">
        <f t="shared" si="28"/>
        <v>-4.1873130855708202E-12</v>
      </c>
      <c r="C366" s="214">
        <f>IF(ROUND(Tableau3626[[#This Row],[Solde début période]],2)&lt;=0,0,$D$2)</f>
        <v>0</v>
      </c>
      <c r="D366" s="214">
        <f t="shared" si="25"/>
        <v>-1.5702424070890576E-14</v>
      </c>
      <c r="E366" s="214">
        <f t="shared" si="26"/>
        <v>1.5702424070890576E-14</v>
      </c>
      <c r="F366" s="213">
        <f t="shared" si="27"/>
        <v>-4.2030155096417107E-12</v>
      </c>
    </row>
    <row r="367" spans="1:6" x14ac:dyDescent="0.25">
      <c r="A367" s="226">
        <f t="shared" si="29"/>
        <v>54820</v>
      </c>
      <c r="B367" s="213">
        <f t="shared" si="28"/>
        <v>-4.2030155096417107E-12</v>
      </c>
      <c r="C367" s="214">
        <f>IF(ROUND(Tableau3626[[#This Row],[Solde début période]],2)&lt;=0,0,$D$2)</f>
        <v>0</v>
      </c>
      <c r="D367" s="214">
        <f t="shared" si="25"/>
        <v>-1.5761308161156415E-14</v>
      </c>
      <c r="E367" s="214">
        <f t="shared" si="26"/>
        <v>1.5761308161156415E-14</v>
      </c>
      <c r="F367" s="213">
        <f t="shared" si="27"/>
        <v>-4.2187768178028672E-12</v>
      </c>
    </row>
    <row r="368" spans="1:6" x14ac:dyDescent="0.25">
      <c r="A368" s="226">
        <f t="shared" si="29"/>
        <v>54848</v>
      </c>
      <c r="B368" s="213">
        <f t="shared" si="28"/>
        <v>-4.2187768178028672E-12</v>
      </c>
      <c r="C368" s="214">
        <f>IF(ROUND(Tableau3626[[#This Row],[Solde début période]],2)&lt;=0,0,$D$2)</f>
        <v>0</v>
      </c>
      <c r="D368" s="214">
        <f t="shared" si="25"/>
        <v>-1.582041306676075E-14</v>
      </c>
      <c r="E368" s="214">
        <f t="shared" si="26"/>
        <v>1.582041306676075E-14</v>
      </c>
      <c r="F368" s="213">
        <f t="shared" si="27"/>
        <v>-4.2345972308696282E-12</v>
      </c>
    </row>
    <row r="369" spans="1:6" x14ac:dyDescent="0.25">
      <c r="A369" s="226">
        <f t="shared" si="29"/>
        <v>54879</v>
      </c>
      <c r="B369" s="213">
        <f t="shared" si="28"/>
        <v>-4.2345972308696282E-12</v>
      </c>
      <c r="C369" s="214">
        <f>IF(ROUND(Tableau3626[[#This Row],[Solde début période]],2)&lt;=0,0,$D$2)</f>
        <v>0</v>
      </c>
      <c r="D369" s="214">
        <f t="shared" si="25"/>
        <v>-1.5879739615761104E-14</v>
      </c>
      <c r="E369" s="214">
        <f t="shared" si="26"/>
        <v>1.5879739615761104E-14</v>
      </c>
      <c r="F369" s="213">
        <f t="shared" si="27"/>
        <v>-4.2504769704853893E-12</v>
      </c>
    </row>
    <row r="370" spans="1:6" x14ac:dyDescent="0.25">
      <c r="A370" s="226">
        <f t="shared" si="29"/>
        <v>54909</v>
      </c>
      <c r="B370" s="213">
        <f t="shared" si="28"/>
        <v>-4.2504769704853893E-12</v>
      </c>
      <c r="C370" s="214">
        <f>IF(ROUND(Tableau3626[[#This Row],[Solde début période]],2)&lt;=0,0,$D$2)</f>
        <v>0</v>
      </c>
      <c r="D370" s="214">
        <f t="shared" si="25"/>
        <v>-1.5939288639320208E-14</v>
      </c>
      <c r="E370" s="214">
        <f t="shared" si="26"/>
        <v>1.5939288639320208E-14</v>
      </c>
      <c r="F370" s="213">
        <f t="shared" si="27"/>
        <v>-4.2664162591247095E-12</v>
      </c>
    </row>
    <row r="371" spans="1:6" x14ac:dyDescent="0.25">
      <c r="A371" s="226">
        <f t="shared" si="29"/>
        <v>54940</v>
      </c>
      <c r="B371" s="213">
        <f t="shared" si="28"/>
        <v>-4.2664162591247095E-12</v>
      </c>
      <c r="C371" s="214">
        <f>IF(ROUND(Tableau3626[[#This Row],[Solde début période]],2)&lt;=0,0,$D$2)</f>
        <v>0</v>
      </c>
      <c r="D371" s="214">
        <f t="shared" si="25"/>
        <v>-1.5999060971717661E-14</v>
      </c>
      <c r="E371" s="214">
        <f t="shared" si="26"/>
        <v>1.5999060971717661E-14</v>
      </c>
      <c r="F371" s="213">
        <f t="shared" si="27"/>
        <v>-4.2824153200964269E-12</v>
      </c>
    </row>
    <row r="372" spans="1:6" x14ac:dyDescent="0.25">
      <c r="A372" s="226">
        <f t="shared" si="29"/>
        <v>54970</v>
      </c>
      <c r="B372" s="213">
        <f t="shared" si="28"/>
        <v>-4.2824153200964269E-12</v>
      </c>
      <c r="C372" s="214">
        <f>IF(ROUND(Tableau3626[[#This Row],[Solde début période]],2)&lt;=0,0,$D$2)</f>
        <v>0</v>
      </c>
      <c r="D372" s="214">
        <f t="shared" si="25"/>
        <v>-1.6059057450361599E-14</v>
      </c>
      <c r="E372" s="214">
        <f t="shared" si="26"/>
        <v>1.6059057450361599E-14</v>
      </c>
      <c r="F372" s="213">
        <f t="shared" si="27"/>
        <v>-4.2984743775467886E-12</v>
      </c>
    </row>
    <row r="373" spans="1:6" x14ac:dyDescent="0.25">
      <c r="A373" s="226">
        <f t="shared" si="29"/>
        <v>55001</v>
      </c>
      <c r="B373" s="213">
        <f t="shared" si="28"/>
        <v>-4.2984743775467886E-12</v>
      </c>
      <c r="C373" s="214">
        <f>IF(ROUND(Tableau3626[[#This Row],[Solde début période]],2)&lt;=0,0,$D$2)</f>
        <v>0</v>
      </c>
      <c r="D373" s="214">
        <f t="shared" si="25"/>
        <v>-1.6119278915800457E-14</v>
      </c>
      <c r="E373" s="214">
        <f t="shared" si="26"/>
        <v>1.6119278915800457E-14</v>
      </c>
      <c r="F373" s="213">
        <f t="shared" si="27"/>
        <v>-4.314593656462589E-12</v>
      </c>
    </row>
    <row r="374" spans="1:6" x14ac:dyDescent="0.25">
      <c r="A374" s="226">
        <f t="shared" si="29"/>
        <v>55032</v>
      </c>
      <c r="B374" s="213">
        <f t="shared" si="28"/>
        <v>-4.314593656462589E-12</v>
      </c>
      <c r="C374" s="214">
        <f>IF(ROUND(Tableau3626[[#This Row],[Solde début période]],2)&lt;=0,0,$D$2)</f>
        <v>0</v>
      </c>
      <c r="D374" s="214">
        <f t="shared" si="25"/>
        <v>-1.6179726211734709E-14</v>
      </c>
      <c r="E374" s="214">
        <f t="shared" si="26"/>
        <v>1.6179726211734709E-14</v>
      </c>
      <c r="F374" s="213">
        <f t="shared" si="27"/>
        <v>-4.3307733826743241E-12</v>
      </c>
    </row>
    <row r="375" spans="1:6" x14ac:dyDescent="0.25">
      <c r="A375" s="226">
        <f t="shared" si="29"/>
        <v>55062</v>
      </c>
      <c r="B375" s="213">
        <f t="shared" si="28"/>
        <v>-4.3307733826743241E-12</v>
      </c>
      <c r="C375" s="214">
        <f>IF(ROUND(Tableau3626[[#This Row],[Solde début période]],2)&lt;=0,0,$D$2)</f>
        <v>0</v>
      </c>
      <c r="D375" s="214">
        <f t="shared" si="25"/>
        <v>-1.6240400185028716E-14</v>
      </c>
      <c r="E375" s="214">
        <f t="shared" si="26"/>
        <v>1.6240400185028716E-14</v>
      </c>
      <c r="F375" s="213">
        <f t="shared" si="27"/>
        <v>-4.347013782859353E-12</v>
      </c>
    </row>
    <row r="376" spans="1:6" x14ac:dyDescent="0.25">
      <c r="A376" s="226">
        <f t="shared" si="29"/>
        <v>55093</v>
      </c>
      <c r="B376" s="213">
        <f t="shared" si="28"/>
        <v>-4.347013782859353E-12</v>
      </c>
      <c r="C376" s="214">
        <f>IF(ROUND(Tableau3626[[#This Row],[Solde début période]],2)&lt;=0,0,$D$2)</f>
        <v>0</v>
      </c>
      <c r="D376" s="214">
        <f t="shared" si="25"/>
        <v>-1.6301301685722573E-14</v>
      </c>
      <c r="E376" s="214">
        <f t="shared" si="26"/>
        <v>1.6301301685722573E-14</v>
      </c>
      <c r="F376" s="213">
        <f t="shared" si="27"/>
        <v>-4.3633150845450754E-12</v>
      </c>
    </row>
    <row r="377" spans="1:6" x14ac:dyDescent="0.25">
      <c r="A377" s="226">
        <f t="shared" si="29"/>
        <v>55123</v>
      </c>
      <c r="B377" s="213">
        <f t="shared" si="28"/>
        <v>-4.3633150845450754E-12</v>
      </c>
      <c r="C377" s="214">
        <f>IF(ROUND(Tableau3626[[#This Row],[Solde début période]],2)&lt;=0,0,$D$2)</f>
        <v>0</v>
      </c>
      <c r="D377" s="214">
        <f t="shared" si="25"/>
        <v>-1.6362431567044033E-14</v>
      </c>
      <c r="E377" s="214">
        <f t="shared" si="26"/>
        <v>1.6362431567044033E-14</v>
      </c>
      <c r="F377" s="213">
        <f t="shared" si="27"/>
        <v>-4.3796775161121196E-12</v>
      </c>
    </row>
  </sheetData>
  <sheetProtection selectLockedCells="1"/>
  <scenarios current="0">
    <scenario name="Paiement" count="1" user="Maxime Montambeault" comment="Créé par Maxime Montambeault le 2016-04-09">
      <inputCells r="D2" val="71"/>
    </scenario>
  </scenarios>
  <mergeCells count="3">
    <mergeCell ref="E1:F1"/>
    <mergeCell ref="E2:F2"/>
    <mergeCell ref="A4:F4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C258A-D3C4-4B3F-A9D6-0A179E9AA47A}">
  <sheetPr>
    <pageSetUpPr fitToPage="1"/>
  </sheetPr>
  <dimension ref="B1:H24"/>
  <sheetViews>
    <sheetView showGridLines="0" tabSelected="1" topLeftCell="B1" zoomScale="140" zoomScaleNormal="140" zoomScaleSheetLayoutView="100" workbookViewId="0">
      <selection activeCell="B3" sqref="B3"/>
    </sheetView>
  </sheetViews>
  <sheetFormatPr baseColWidth="10" defaultColWidth="8.85546875" defaultRowHeight="12.75" x14ac:dyDescent="0.2"/>
  <cols>
    <col min="1" max="1" width="2.85546875" style="231" customWidth="1"/>
    <col min="2" max="2" width="46.5703125" style="230" customWidth="1"/>
    <col min="3" max="7" width="17.42578125" style="230" customWidth="1"/>
    <col min="8" max="8" width="18.28515625" style="230" customWidth="1"/>
    <col min="9" max="16384" width="8.85546875" style="231"/>
  </cols>
  <sheetData>
    <row r="1" spans="2:8" ht="18.75" customHeight="1" x14ac:dyDescent="0.2">
      <c r="H1" s="7"/>
    </row>
    <row r="2" spans="2:8" ht="18.75" customHeight="1" thickBot="1" x14ac:dyDescent="0.35">
      <c r="B2" s="405" t="str">
        <f>IF(Informations!B2=" ",IF(Informations!B1=" "," ",Informations!B1),Informations!B1&amp;" &amp; "&amp;Informations!B2)</f>
        <v xml:space="preserve"> &amp; </v>
      </c>
      <c r="C2" s="405"/>
      <c r="D2" s="232"/>
      <c r="E2" s="232"/>
      <c r="F2" s="232"/>
      <c r="G2" s="232"/>
      <c r="H2" s="254"/>
    </row>
    <row r="3" spans="2:8" ht="18.75" customHeight="1" thickTop="1" thickBot="1" x14ac:dyDescent="0.35">
      <c r="B3" s="233"/>
      <c r="C3" s="235"/>
      <c r="D3" s="291" t="s">
        <v>193</v>
      </c>
      <c r="E3" s="234"/>
      <c r="F3" s="234"/>
      <c r="G3" s="234"/>
      <c r="H3" s="234"/>
    </row>
    <row r="4" spans="2:8" ht="15.75" thickTop="1" x14ac:dyDescent="0.25">
      <c r="B4" s="236"/>
      <c r="C4" s="237"/>
      <c r="D4" s="237"/>
      <c r="E4" s="237"/>
      <c r="F4" s="237"/>
      <c r="G4" s="237"/>
      <c r="H4" s="237"/>
    </row>
    <row r="5" spans="2:8" ht="13.5" thickBot="1" x14ac:dyDescent="0.25">
      <c r="B5" s="528">
        <v>2023</v>
      </c>
      <c r="C5" s="528"/>
      <c r="D5" s="528"/>
      <c r="E5" s="528"/>
      <c r="F5" s="528"/>
      <c r="G5" s="528"/>
      <c r="H5" s="529"/>
    </row>
    <row r="6" spans="2:8" ht="35.25" customHeight="1" thickTop="1" thickBot="1" x14ac:dyDescent="0.25">
      <c r="B6" s="530" t="s">
        <v>294</v>
      </c>
      <c r="C6" s="531"/>
      <c r="D6" s="532"/>
      <c r="E6" s="532"/>
      <c r="F6" s="532"/>
      <c r="G6" s="532"/>
      <c r="H6" s="532"/>
    </row>
    <row r="7" spans="2:8" ht="35.25" customHeight="1" thickTop="1" thickBot="1" x14ac:dyDescent="0.25">
      <c r="B7" s="530" t="s">
        <v>295</v>
      </c>
      <c r="C7" s="531"/>
      <c r="D7" s="532"/>
      <c r="E7" s="532"/>
      <c r="F7" s="532"/>
      <c r="G7" s="532"/>
      <c r="H7" s="532"/>
    </row>
    <row r="8" spans="2:8" ht="35.25" customHeight="1" thickTop="1" thickBot="1" x14ac:dyDescent="0.25">
      <c r="B8" s="530" t="s">
        <v>296</v>
      </c>
      <c r="C8" s="531"/>
      <c r="D8" s="532"/>
      <c r="E8" s="532"/>
      <c r="F8" s="532"/>
      <c r="G8" s="532"/>
      <c r="H8" s="532"/>
    </row>
    <row r="9" spans="2:8" ht="35.25" customHeight="1" thickTop="1" x14ac:dyDescent="0.2">
      <c r="B9" s="533"/>
      <c r="C9" s="531"/>
      <c r="D9" s="532"/>
      <c r="E9" s="532"/>
      <c r="F9" s="532"/>
      <c r="G9" s="532"/>
      <c r="H9" s="532"/>
    </row>
    <row r="10" spans="2:8" ht="13.5" thickBot="1" x14ac:dyDescent="0.25">
      <c r="B10" s="528">
        <v>2022</v>
      </c>
      <c r="C10" s="528"/>
      <c r="D10" s="528"/>
      <c r="E10" s="528"/>
      <c r="F10" s="528"/>
      <c r="G10" s="528"/>
      <c r="H10" s="529"/>
    </row>
    <row r="11" spans="2:8" ht="35.25" customHeight="1" thickTop="1" thickBot="1" x14ac:dyDescent="0.25">
      <c r="B11" s="530" t="s">
        <v>294</v>
      </c>
      <c r="C11" s="531"/>
      <c r="D11" s="532"/>
      <c r="E11" s="532"/>
      <c r="F11" s="532"/>
      <c r="G11" s="532"/>
      <c r="H11" s="532"/>
    </row>
    <row r="12" spans="2:8" ht="35.25" customHeight="1" thickTop="1" thickBot="1" x14ac:dyDescent="0.25">
      <c r="B12" s="530" t="s">
        <v>295</v>
      </c>
      <c r="C12" s="531"/>
      <c r="D12" s="532"/>
      <c r="E12" s="532"/>
      <c r="F12" s="532"/>
      <c r="G12" s="532"/>
      <c r="H12" s="532"/>
    </row>
    <row r="13" spans="2:8" ht="35.25" customHeight="1" thickTop="1" thickBot="1" x14ac:dyDescent="0.25">
      <c r="B13" s="530" t="s">
        <v>296</v>
      </c>
      <c r="C13" s="531"/>
      <c r="D13" s="532"/>
      <c r="E13" s="532"/>
      <c r="F13" s="532"/>
      <c r="G13" s="532"/>
      <c r="H13" s="532"/>
    </row>
    <row r="14" spans="2:8" ht="35.25" customHeight="1" thickTop="1" x14ac:dyDescent="0.2">
      <c r="B14" s="533"/>
      <c r="C14" s="531"/>
      <c r="D14" s="532"/>
      <c r="E14" s="532"/>
      <c r="F14" s="532"/>
      <c r="G14" s="532"/>
      <c r="H14" s="532"/>
    </row>
    <row r="15" spans="2:8" ht="13.5" thickBot="1" x14ac:dyDescent="0.25">
      <c r="B15" s="528">
        <v>2021</v>
      </c>
      <c r="C15" s="528"/>
      <c r="D15" s="528"/>
      <c r="E15" s="528"/>
      <c r="F15" s="528"/>
      <c r="G15" s="528"/>
      <c r="H15" s="529"/>
    </row>
    <row r="16" spans="2:8" ht="35.25" customHeight="1" thickTop="1" thickBot="1" x14ac:dyDescent="0.25">
      <c r="B16" s="530" t="s">
        <v>294</v>
      </c>
      <c r="C16" s="531"/>
      <c r="D16" s="532"/>
      <c r="E16" s="532"/>
      <c r="F16" s="532"/>
      <c r="G16" s="532"/>
      <c r="H16" s="532"/>
    </row>
    <row r="17" spans="2:8" ht="35.25" customHeight="1" thickTop="1" thickBot="1" x14ac:dyDescent="0.25">
      <c r="B17" s="530" t="s">
        <v>295</v>
      </c>
      <c r="C17" s="531"/>
      <c r="D17" s="532"/>
      <c r="E17" s="532"/>
      <c r="F17" s="532"/>
      <c r="G17" s="532"/>
      <c r="H17" s="532"/>
    </row>
    <row r="18" spans="2:8" ht="35.25" customHeight="1" thickTop="1" thickBot="1" x14ac:dyDescent="0.25">
      <c r="B18" s="530" t="s">
        <v>296</v>
      </c>
      <c r="C18" s="531"/>
      <c r="D18" s="532"/>
      <c r="E18" s="532"/>
      <c r="F18" s="532"/>
      <c r="G18" s="532"/>
      <c r="H18" s="532"/>
    </row>
    <row r="19" spans="2:8" ht="35.25" customHeight="1" thickTop="1" x14ac:dyDescent="0.2">
      <c r="B19" s="533"/>
      <c r="C19" s="531"/>
      <c r="D19" s="532"/>
      <c r="E19" s="532"/>
      <c r="F19" s="532"/>
      <c r="G19" s="532"/>
      <c r="H19" s="532"/>
    </row>
    <row r="20" spans="2:8" ht="13.5" thickBot="1" x14ac:dyDescent="0.25">
      <c r="B20" s="528">
        <v>2020</v>
      </c>
      <c r="C20" s="528"/>
      <c r="D20" s="528"/>
      <c r="E20" s="528"/>
      <c r="F20" s="528"/>
      <c r="G20" s="528"/>
      <c r="H20" s="529"/>
    </row>
    <row r="21" spans="2:8" ht="35.25" customHeight="1" thickTop="1" thickBot="1" x14ac:dyDescent="0.25">
      <c r="B21" s="530" t="s">
        <v>294</v>
      </c>
      <c r="C21" s="531"/>
      <c r="D21" s="532"/>
      <c r="E21" s="532"/>
      <c r="F21" s="532"/>
      <c r="G21" s="532"/>
      <c r="H21" s="532"/>
    </row>
    <row r="22" spans="2:8" ht="35.25" customHeight="1" thickTop="1" thickBot="1" x14ac:dyDescent="0.25">
      <c r="B22" s="530" t="s">
        <v>295</v>
      </c>
      <c r="C22" s="531"/>
      <c r="D22" s="532"/>
      <c r="E22" s="532"/>
      <c r="F22" s="532"/>
      <c r="G22" s="532"/>
      <c r="H22" s="532"/>
    </row>
    <row r="23" spans="2:8" ht="35.25" customHeight="1" thickTop="1" thickBot="1" x14ac:dyDescent="0.25">
      <c r="B23" s="530" t="s">
        <v>296</v>
      </c>
      <c r="C23" s="531"/>
      <c r="D23" s="532"/>
      <c r="E23" s="532"/>
      <c r="F23" s="532"/>
      <c r="G23" s="532"/>
      <c r="H23" s="532"/>
    </row>
    <row r="24" spans="2:8" ht="35.25" customHeight="1" thickTop="1" x14ac:dyDescent="0.2">
      <c r="B24" s="533"/>
      <c r="C24" s="531"/>
      <c r="D24" s="532"/>
      <c r="E24" s="532"/>
      <c r="F24" s="532"/>
      <c r="G24" s="532"/>
      <c r="H24" s="532"/>
    </row>
  </sheetData>
  <sheetProtection formatColumns="0" formatRows="0" insertColumns="0" insertRows="0" deleteColumns="0" deleteRows="0" selectLockedCells="1"/>
  <mergeCells count="21">
    <mergeCell ref="C22:H22"/>
    <mergeCell ref="C23:H23"/>
    <mergeCell ref="C24:H24"/>
    <mergeCell ref="C16:H16"/>
    <mergeCell ref="C17:H17"/>
    <mergeCell ref="C18:H18"/>
    <mergeCell ref="C19:H19"/>
    <mergeCell ref="B20:H20"/>
    <mergeCell ref="C21:H21"/>
    <mergeCell ref="B10:H10"/>
    <mergeCell ref="C11:H11"/>
    <mergeCell ref="C12:H12"/>
    <mergeCell ref="C13:H13"/>
    <mergeCell ref="C14:H14"/>
    <mergeCell ref="B15:H15"/>
    <mergeCell ref="B2:C2"/>
    <mergeCell ref="B5:H5"/>
    <mergeCell ref="C6:H6"/>
    <mergeCell ref="C7:H7"/>
    <mergeCell ref="C8:H8"/>
    <mergeCell ref="C9:H9"/>
  </mergeCells>
  <printOptions horizontalCentered="1" verticalCentered="1"/>
  <pageMargins left="0.5" right="0.5" top="0.5" bottom="0.5" header="0.5" footer="0.5"/>
  <pageSetup scale="70"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C4805-D942-4240-8409-ABCA47E14308}">
  <sheetPr>
    <pageSetUpPr fitToPage="1"/>
  </sheetPr>
  <dimension ref="B1:H31"/>
  <sheetViews>
    <sheetView showGridLines="0" zoomScale="145" zoomScaleNormal="145" zoomScaleSheetLayoutView="100" workbookViewId="0">
      <selection activeCell="D28" sqref="D28:E29"/>
    </sheetView>
  </sheetViews>
  <sheetFormatPr baseColWidth="10" defaultColWidth="8.85546875" defaultRowHeight="12.75" x14ac:dyDescent="0.2"/>
  <cols>
    <col min="1" max="1" width="2.85546875" style="231" customWidth="1"/>
    <col min="2" max="2" width="46.7109375" style="230" customWidth="1"/>
    <col min="3" max="7" width="17.42578125" style="230" customWidth="1"/>
    <col min="8" max="8" width="18.28515625" style="230" customWidth="1"/>
    <col min="9" max="16384" width="8.85546875" style="231"/>
  </cols>
  <sheetData>
    <row r="1" spans="2:8" ht="18.75" customHeight="1" x14ac:dyDescent="0.2">
      <c r="H1" s="7"/>
    </row>
    <row r="2" spans="2:8" ht="18.75" customHeight="1" thickBot="1" x14ac:dyDescent="0.35">
      <c r="B2" s="405" t="str">
        <f>IF(Informations!B2=" ",IF(Informations!B1=" "," ",Informations!B1),Informations!B1&amp;" &amp; "&amp;Informations!B2)</f>
        <v xml:space="preserve"> &amp; </v>
      </c>
      <c r="C2" s="405"/>
      <c r="D2" s="405"/>
      <c r="E2" s="232"/>
      <c r="F2" s="232"/>
      <c r="G2" s="232"/>
      <c r="H2" s="254"/>
    </row>
    <row r="3" spans="2:8" ht="18.75" customHeight="1" thickTop="1" thickBot="1" x14ac:dyDescent="0.35">
      <c r="B3" s="233"/>
      <c r="C3" s="234"/>
      <c r="D3" s="235" t="s">
        <v>216</v>
      </c>
      <c r="E3" s="234"/>
      <c r="F3" s="234"/>
      <c r="G3" s="234"/>
      <c r="H3" s="234"/>
    </row>
    <row r="4" spans="2:8" ht="15.75" thickTop="1" x14ac:dyDescent="0.25">
      <c r="B4" s="236"/>
      <c r="D4" s="237"/>
      <c r="E4" s="237"/>
      <c r="F4" s="237"/>
      <c r="G4" s="237"/>
      <c r="H4" s="237"/>
    </row>
    <row r="5" spans="2:8" ht="13.5" thickBot="1" x14ac:dyDescent="0.25">
      <c r="B5" s="238">
        <f>IF(Informations!B1=" "," ",Informations!B1)</f>
        <v>0</v>
      </c>
      <c r="C5" s="239" t="s">
        <v>102</v>
      </c>
      <c r="D5" s="239" t="s">
        <v>105</v>
      </c>
      <c r="E5" s="239" t="s">
        <v>106</v>
      </c>
      <c r="F5" s="239" t="s">
        <v>107</v>
      </c>
      <c r="G5" s="239" t="s">
        <v>108</v>
      </c>
      <c r="H5" s="239" t="s">
        <v>194</v>
      </c>
    </row>
    <row r="6" spans="2:8" ht="13.5" thickTop="1" x14ac:dyDescent="0.2">
      <c r="B6" s="240" t="s">
        <v>11</v>
      </c>
      <c r="C6" s="241"/>
      <c r="D6" s="241"/>
      <c r="E6" s="241"/>
      <c r="F6" s="241"/>
      <c r="G6" s="241"/>
      <c r="H6" s="241"/>
    </row>
    <row r="7" spans="2:8" x14ac:dyDescent="0.2">
      <c r="B7" s="240" t="s">
        <v>12</v>
      </c>
      <c r="C7" s="241"/>
      <c r="D7" s="241"/>
      <c r="E7" s="241"/>
      <c r="F7" s="241"/>
      <c r="G7" s="241"/>
      <c r="H7" s="241"/>
    </row>
    <row r="8" spans="2:8" x14ac:dyDescent="0.2">
      <c r="B8" s="240" t="s">
        <v>13</v>
      </c>
      <c r="C8" s="242">
        <v>1</v>
      </c>
      <c r="D8" s="242"/>
      <c r="E8" s="242"/>
      <c r="F8" s="242"/>
      <c r="G8" s="242"/>
      <c r="H8" s="242"/>
    </row>
    <row r="9" spans="2:8" x14ac:dyDescent="0.2">
      <c r="B9" s="240" t="s">
        <v>14</v>
      </c>
      <c r="C9" s="242"/>
      <c r="D9" s="242"/>
      <c r="E9" s="242"/>
      <c r="F9" s="242"/>
      <c r="G9" s="242"/>
      <c r="H9" s="242"/>
    </row>
    <row r="10" spans="2:8" x14ac:dyDescent="0.2">
      <c r="B10" s="240" t="s">
        <v>103</v>
      </c>
      <c r="C10" s="242"/>
      <c r="D10" s="242"/>
      <c r="E10" s="242"/>
      <c r="F10" s="242"/>
      <c r="G10" s="242"/>
      <c r="H10" s="241"/>
    </row>
    <row r="11" spans="2:8" x14ac:dyDescent="0.2">
      <c r="B11" s="240" t="s">
        <v>122</v>
      </c>
      <c r="C11" s="242"/>
      <c r="D11" s="242"/>
      <c r="E11" s="242"/>
      <c r="F11" s="242"/>
      <c r="G11" s="242"/>
      <c r="H11" s="241"/>
    </row>
    <row r="12" spans="2:8" x14ac:dyDescent="0.2">
      <c r="B12" s="240" t="s">
        <v>125</v>
      </c>
      <c r="C12" s="242"/>
      <c r="D12" s="242"/>
      <c r="E12" s="242"/>
      <c r="F12" s="242"/>
      <c r="G12" s="242"/>
      <c r="H12" s="241"/>
    </row>
    <row r="13" spans="2:8" x14ac:dyDescent="0.2">
      <c r="B13" s="240" t="s">
        <v>126</v>
      </c>
      <c r="C13" s="243">
        <f>+C12/C8</f>
        <v>0</v>
      </c>
      <c r="D13" s="243"/>
      <c r="E13" s="243"/>
      <c r="F13" s="243"/>
      <c r="G13" s="243"/>
      <c r="H13" s="243"/>
    </row>
    <row r="14" spans="2:8" x14ac:dyDescent="0.2">
      <c r="B14" s="244"/>
      <c r="C14" s="245"/>
      <c r="D14" s="245"/>
      <c r="E14" s="245"/>
      <c r="F14" s="245"/>
      <c r="G14" s="245"/>
      <c r="H14" s="245"/>
    </row>
    <row r="15" spans="2:8" x14ac:dyDescent="0.2">
      <c r="B15" s="231"/>
      <c r="C15" s="246">
        <v>2021</v>
      </c>
      <c r="D15" s="246">
        <v>2022</v>
      </c>
      <c r="E15" s="246">
        <v>2023</v>
      </c>
      <c r="F15" s="246">
        <v>2024</v>
      </c>
      <c r="G15" s="246">
        <v>2025</v>
      </c>
      <c r="H15" s="246">
        <v>2026</v>
      </c>
    </row>
    <row r="16" spans="2:8" ht="13.5" thickBot="1" x14ac:dyDescent="0.25">
      <c r="B16" s="238">
        <f>IF(Informations!B2=" "," ",Informations!B2)</f>
        <v>0</v>
      </c>
      <c r="C16" s="247" t="str">
        <f>+C5</f>
        <v>2022</v>
      </c>
      <c r="D16" s="247" t="str">
        <f t="shared" ref="D16:H16" si="0">+D5</f>
        <v>2023</v>
      </c>
      <c r="E16" s="247" t="str">
        <f t="shared" si="0"/>
        <v>2024</v>
      </c>
      <c r="F16" s="247" t="str">
        <f t="shared" si="0"/>
        <v>2025</v>
      </c>
      <c r="G16" s="247" t="str">
        <f t="shared" si="0"/>
        <v>2026</v>
      </c>
      <c r="H16" s="247" t="str">
        <f t="shared" si="0"/>
        <v>2027</v>
      </c>
    </row>
    <row r="17" spans="2:8" ht="13.5" thickTop="1" x14ac:dyDescent="0.2">
      <c r="B17" s="240" t="s">
        <v>11</v>
      </c>
      <c r="C17" s="241"/>
      <c r="D17" s="241"/>
      <c r="E17" s="241"/>
      <c r="F17" s="241"/>
      <c r="G17" s="241"/>
      <c r="H17" s="241"/>
    </row>
    <row r="18" spans="2:8" x14ac:dyDescent="0.2">
      <c r="B18" s="240" t="s">
        <v>12</v>
      </c>
      <c r="C18" s="241"/>
      <c r="D18" s="241"/>
      <c r="E18" s="241"/>
      <c r="F18" s="241"/>
      <c r="G18" s="241"/>
      <c r="H18" s="241"/>
    </row>
    <row r="19" spans="2:8" x14ac:dyDescent="0.2">
      <c r="B19" s="240" t="s">
        <v>13</v>
      </c>
      <c r="C19" s="242">
        <v>1</v>
      </c>
      <c r="D19" s="242"/>
      <c r="E19" s="242"/>
      <c r="F19" s="242"/>
      <c r="G19" s="242"/>
      <c r="H19" s="242"/>
    </row>
    <row r="20" spans="2:8" x14ac:dyDescent="0.2">
      <c r="B20" s="240" t="s">
        <v>14</v>
      </c>
      <c r="C20" s="242">
        <v>0</v>
      </c>
      <c r="D20" s="242"/>
      <c r="E20" s="242"/>
      <c r="F20" s="242"/>
      <c r="G20" s="242"/>
      <c r="H20" s="241"/>
    </row>
    <row r="21" spans="2:8" x14ac:dyDescent="0.2">
      <c r="B21" s="240" t="s">
        <v>15</v>
      </c>
      <c r="C21" s="242"/>
      <c r="D21" s="242"/>
      <c r="E21" s="242"/>
      <c r="F21" s="242"/>
      <c r="G21" s="242"/>
      <c r="H21" s="241"/>
    </row>
    <row r="22" spans="2:8" x14ac:dyDescent="0.2">
      <c r="B22" s="240" t="s">
        <v>16</v>
      </c>
      <c r="C22" s="242"/>
      <c r="D22" s="242"/>
      <c r="E22" s="242"/>
      <c r="F22" s="242"/>
      <c r="G22" s="242"/>
      <c r="H22" s="241"/>
    </row>
    <row r="23" spans="2:8" x14ac:dyDescent="0.2">
      <c r="B23" s="240" t="s">
        <v>125</v>
      </c>
      <c r="C23" s="242"/>
      <c r="D23" s="242"/>
      <c r="E23" s="242"/>
      <c r="F23" s="242"/>
      <c r="G23" s="242"/>
      <c r="H23" s="241"/>
    </row>
    <row r="24" spans="2:8" x14ac:dyDescent="0.2">
      <c r="B24" s="240" t="s">
        <v>126</v>
      </c>
      <c r="C24" s="243"/>
      <c r="D24" s="243"/>
      <c r="E24" s="243"/>
      <c r="F24" s="243"/>
      <c r="G24" s="243"/>
      <c r="H24" s="243"/>
    </row>
    <row r="25" spans="2:8" x14ac:dyDescent="0.2">
      <c r="B25" s="244"/>
      <c r="C25" s="245"/>
      <c r="D25" s="245"/>
      <c r="E25" s="245"/>
      <c r="F25" s="245"/>
      <c r="G25" s="245"/>
      <c r="H25" s="245"/>
    </row>
    <row r="26" spans="2:8" x14ac:dyDescent="0.2">
      <c r="B26" s="231"/>
      <c r="C26" s="246">
        <v>2021</v>
      </c>
      <c r="D26" s="246">
        <v>2022</v>
      </c>
      <c r="E26" s="246">
        <v>2023</v>
      </c>
      <c r="F26" s="246">
        <v>2024</v>
      </c>
      <c r="G26" s="246">
        <v>2025</v>
      </c>
      <c r="H26" s="246">
        <v>2026</v>
      </c>
    </row>
    <row r="27" spans="2:8" ht="13.5" thickBot="1" x14ac:dyDescent="0.25">
      <c r="B27" s="248" t="s">
        <v>40</v>
      </c>
      <c r="C27" s="249" t="str">
        <f>+C5</f>
        <v>2022</v>
      </c>
      <c r="D27" s="249" t="str">
        <f t="shared" ref="D27:H27" si="1">+D5</f>
        <v>2023</v>
      </c>
      <c r="E27" s="249" t="str">
        <f t="shared" si="1"/>
        <v>2024</v>
      </c>
      <c r="F27" s="249" t="str">
        <f t="shared" si="1"/>
        <v>2025</v>
      </c>
      <c r="G27" s="249" t="str">
        <f t="shared" si="1"/>
        <v>2026</v>
      </c>
      <c r="H27" s="249" t="str">
        <f t="shared" si="1"/>
        <v>2027</v>
      </c>
    </row>
    <row r="28" spans="2:8" ht="35.25" customHeight="1" thickTop="1" x14ac:dyDescent="0.2">
      <c r="B28" s="250"/>
      <c r="C28" s="251"/>
      <c r="D28" s="251"/>
      <c r="E28" s="251"/>
      <c r="F28" s="251"/>
      <c r="G28" s="251"/>
      <c r="H28" s="252"/>
    </row>
    <row r="29" spans="2:8" ht="39" customHeight="1" x14ac:dyDescent="0.2">
      <c r="B29" s="250"/>
      <c r="C29" s="251"/>
      <c r="D29" s="251"/>
      <c r="E29" s="251"/>
      <c r="F29" s="251"/>
      <c r="G29" s="251"/>
      <c r="H29" s="252"/>
    </row>
    <row r="30" spans="2:8" ht="35.25" customHeight="1" x14ac:dyDescent="0.2">
      <c r="B30" s="250"/>
      <c r="C30" s="251"/>
      <c r="D30" s="251"/>
      <c r="E30" s="251"/>
      <c r="F30" s="251"/>
      <c r="G30" s="251"/>
      <c r="H30" s="252"/>
    </row>
    <row r="31" spans="2:8" x14ac:dyDescent="0.2">
      <c r="C31" s="253"/>
      <c r="D31" s="253"/>
      <c r="E31" s="253"/>
      <c r="F31" s="253"/>
      <c r="G31" s="253"/>
    </row>
  </sheetData>
  <sheetProtection formatColumns="0" formatRows="0" insertColumns="0" insertRows="0" deleteColumns="0" deleteRows="0" selectLockedCells="1"/>
  <mergeCells count="1">
    <mergeCell ref="B2:D2"/>
  </mergeCells>
  <phoneticPr fontId="49" type="noConversion"/>
  <printOptions horizontalCentered="1" verticalCentered="1"/>
  <pageMargins left="0.5" right="0.5" top="0.5" bottom="0.5" header="0.5" footer="0.5"/>
  <pageSetup scale="70" orientation="portrait" horizontalDpi="4294967294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H64"/>
  <sheetViews>
    <sheetView showGridLines="0" zoomScale="130" zoomScaleNormal="130" zoomScaleSheetLayoutView="100" workbookViewId="0">
      <selection activeCell="B2" sqref="B2:E2"/>
    </sheetView>
  </sheetViews>
  <sheetFormatPr baseColWidth="10" defaultColWidth="8.85546875" defaultRowHeight="12.75" x14ac:dyDescent="0.2"/>
  <cols>
    <col min="1" max="1" width="2.85546875" style="231" customWidth="1"/>
    <col min="2" max="2" width="33.85546875" style="230" customWidth="1"/>
    <col min="3" max="7" width="17.5703125" style="230" customWidth="1"/>
    <col min="8" max="8" width="19" style="230" customWidth="1"/>
    <col min="9" max="16384" width="8.85546875" style="231"/>
  </cols>
  <sheetData>
    <row r="1" spans="2:8" x14ac:dyDescent="0.2">
      <c r="H1" s="7"/>
    </row>
    <row r="2" spans="2:8" ht="29.25" customHeight="1" thickBot="1" x14ac:dyDescent="0.35">
      <c r="B2" s="405" t="str">
        <f>IF(Informations!B2=" ",IF(Informations!B1=" "," ",Informations!B1),Informations!B1&amp;" &amp; "&amp;Informations!B2)</f>
        <v xml:space="preserve"> &amp; </v>
      </c>
      <c r="C2" s="405"/>
      <c r="D2" s="405"/>
      <c r="E2" s="405"/>
      <c r="F2" s="255"/>
      <c r="G2" s="255"/>
      <c r="H2" s="289"/>
    </row>
    <row r="3" spans="2:8" ht="18.75" customHeight="1" thickTop="1" thickBot="1" x14ac:dyDescent="0.35">
      <c r="B3" s="233"/>
      <c r="C3" s="234"/>
      <c r="D3" s="234"/>
      <c r="E3" s="234"/>
      <c r="F3" s="234"/>
      <c r="G3" s="234"/>
      <c r="H3" s="234"/>
    </row>
    <row r="4" spans="2:8" ht="15.75" thickTop="1" x14ac:dyDescent="0.25">
      <c r="B4" s="256" t="s">
        <v>17</v>
      </c>
    </row>
    <row r="5" spans="2:8" ht="13.5" thickBot="1" x14ac:dyDescent="0.25">
      <c r="B5" s="238" t="s">
        <v>18</v>
      </c>
      <c r="C5" s="247">
        <v>44805</v>
      </c>
      <c r="D5" s="247">
        <v>45170</v>
      </c>
      <c r="E5" s="247">
        <v>45536</v>
      </c>
      <c r="F5" s="247">
        <v>45901</v>
      </c>
      <c r="G5" s="247">
        <v>46266</v>
      </c>
      <c r="H5" s="247">
        <v>46631</v>
      </c>
    </row>
    <row r="6" spans="2:8" ht="13.5" thickTop="1" x14ac:dyDescent="0.2">
      <c r="B6" s="240" t="s">
        <v>230</v>
      </c>
      <c r="C6" s="242">
        <v>30000</v>
      </c>
      <c r="D6" s="242">
        <v>60000</v>
      </c>
      <c r="E6" s="242">
        <v>120000</v>
      </c>
      <c r="F6" s="242">
        <v>500000</v>
      </c>
      <c r="G6" s="242">
        <v>700000</v>
      </c>
      <c r="H6" s="242">
        <v>800000</v>
      </c>
    </row>
    <row r="7" spans="2:8" x14ac:dyDescent="0.2">
      <c r="B7" s="240"/>
      <c r="C7" s="242"/>
      <c r="D7" s="242"/>
      <c r="E7" s="242"/>
      <c r="F7" s="242"/>
      <c r="G7" s="242"/>
      <c r="H7" s="242"/>
    </row>
    <row r="8" spans="2:8" x14ac:dyDescent="0.2">
      <c r="B8" s="240"/>
      <c r="C8" s="242"/>
      <c r="D8" s="242"/>
      <c r="E8" s="242"/>
      <c r="F8" s="242"/>
      <c r="G8" s="242"/>
      <c r="H8" s="242"/>
    </row>
    <row r="9" spans="2:8" x14ac:dyDescent="0.2">
      <c r="B9" s="244" t="s">
        <v>19</v>
      </c>
      <c r="C9" s="257">
        <f t="shared" ref="C9" si="0">SUM(C6:C8)</f>
        <v>30000</v>
      </c>
      <c r="D9" s="257">
        <f t="shared" ref="D9" si="1">SUM(D6:D8)</f>
        <v>60000</v>
      </c>
      <c r="E9" s="257">
        <f t="shared" ref="E9" si="2">SUM(E6:E8)</f>
        <v>120000</v>
      </c>
      <c r="F9" s="257">
        <f t="shared" ref="F9" si="3">SUM(F6:F8)</f>
        <v>500000</v>
      </c>
      <c r="G9" s="257">
        <f t="shared" ref="G9" si="4">SUM(G6:G8)</f>
        <v>700000</v>
      </c>
      <c r="H9" s="257">
        <f t="shared" ref="H9" si="5">SUM(H6:H8)</f>
        <v>800000</v>
      </c>
    </row>
    <row r="10" spans="2:8" x14ac:dyDescent="0.2">
      <c r="B10" s="231"/>
      <c r="C10" s="246">
        <v>2021</v>
      </c>
      <c r="D10" s="246">
        <v>2022</v>
      </c>
      <c r="E10" s="246">
        <v>2023</v>
      </c>
      <c r="F10" s="246">
        <v>2024</v>
      </c>
      <c r="G10" s="246">
        <v>2025</v>
      </c>
      <c r="H10" s="246">
        <v>2026</v>
      </c>
    </row>
    <row r="11" spans="2:8" ht="13.5" thickBot="1" x14ac:dyDescent="0.25">
      <c r="B11" s="238" t="s">
        <v>20</v>
      </c>
      <c r="C11" s="247">
        <f>+C5</f>
        <v>44805</v>
      </c>
      <c r="D11" s="247">
        <f t="shared" ref="D11:H11" si="6">+D5</f>
        <v>45170</v>
      </c>
      <c r="E11" s="247">
        <f t="shared" si="6"/>
        <v>45536</v>
      </c>
      <c r="F11" s="247">
        <f t="shared" si="6"/>
        <v>45901</v>
      </c>
      <c r="G11" s="247">
        <f t="shared" si="6"/>
        <v>46266</v>
      </c>
      <c r="H11" s="247">
        <f t="shared" si="6"/>
        <v>46631</v>
      </c>
    </row>
    <row r="12" spans="2:8" ht="13.5" thickTop="1" x14ac:dyDescent="0.2">
      <c r="B12" s="240"/>
      <c r="C12" s="242"/>
      <c r="D12" s="242"/>
      <c r="E12" s="242"/>
      <c r="F12" s="242"/>
      <c r="G12" s="242"/>
      <c r="H12" s="242"/>
    </row>
    <row r="13" spans="2:8" x14ac:dyDescent="0.2">
      <c r="B13" s="240"/>
      <c r="C13" s="242"/>
      <c r="D13" s="242"/>
      <c r="E13" s="242"/>
      <c r="F13" s="242"/>
      <c r="G13" s="242"/>
      <c r="H13" s="242"/>
    </row>
    <row r="14" spans="2:8" x14ac:dyDescent="0.2">
      <c r="B14" s="258"/>
      <c r="C14" s="242"/>
      <c r="D14" s="242"/>
      <c r="E14" s="242"/>
      <c r="F14" s="242"/>
      <c r="G14" s="242"/>
      <c r="H14" s="242"/>
    </row>
    <row r="15" spans="2:8" x14ac:dyDescent="0.2">
      <c r="B15" s="258"/>
      <c r="C15" s="242"/>
      <c r="D15" s="242"/>
      <c r="E15" s="242"/>
      <c r="F15" s="242"/>
      <c r="G15" s="242"/>
      <c r="H15" s="242"/>
    </row>
    <row r="16" spans="2:8" x14ac:dyDescent="0.2">
      <c r="B16" s="259" t="s">
        <v>21</v>
      </c>
      <c r="C16" s="257">
        <f t="shared" ref="C16:H16" si="7">SUM(C12:C15)</f>
        <v>0</v>
      </c>
      <c r="D16" s="257">
        <f t="shared" si="7"/>
        <v>0</v>
      </c>
      <c r="E16" s="257">
        <f t="shared" si="7"/>
        <v>0</v>
      </c>
      <c r="F16" s="257">
        <f t="shared" si="7"/>
        <v>0</v>
      </c>
      <c r="G16" s="257">
        <f t="shared" si="7"/>
        <v>0</v>
      </c>
      <c r="H16" s="257">
        <f t="shared" si="7"/>
        <v>0</v>
      </c>
    </row>
    <row r="17" spans="2:8" x14ac:dyDescent="0.2">
      <c r="B17" s="231"/>
      <c r="C17" s="231"/>
      <c r="D17" s="231"/>
      <c r="E17" s="231"/>
      <c r="F17" s="231"/>
      <c r="G17" s="231"/>
      <c r="H17" s="231"/>
    </row>
    <row r="18" spans="2:8" ht="13.5" thickBot="1" x14ac:dyDescent="0.25">
      <c r="B18" s="238" t="s">
        <v>22</v>
      </c>
      <c r="C18" s="247">
        <f t="shared" ref="C18:H18" si="8">+C5</f>
        <v>44805</v>
      </c>
      <c r="D18" s="247">
        <f t="shared" si="8"/>
        <v>45170</v>
      </c>
      <c r="E18" s="247">
        <f t="shared" si="8"/>
        <v>45536</v>
      </c>
      <c r="F18" s="247">
        <f t="shared" si="8"/>
        <v>45901</v>
      </c>
      <c r="G18" s="247">
        <f t="shared" si="8"/>
        <v>46266</v>
      </c>
      <c r="H18" s="247">
        <f t="shared" si="8"/>
        <v>46631</v>
      </c>
    </row>
    <row r="19" spans="2:8" ht="13.5" thickTop="1" x14ac:dyDescent="0.2">
      <c r="B19" s="240"/>
      <c r="C19" s="242"/>
      <c r="D19" s="242"/>
      <c r="E19" s="242"/>
      <c r="F19" s="242"/>
      <c r="G19" s="242"/>
      <c r="H19" s="242"/>
    </row>
    <row r="20" spans="2:8" x14ac:dyDescent="0.2">
      <c r="B20" s="240"/>
      <c r="C20" s="242"/>
      <c r="D20" s="242"/>
      <c r="E20" s="242"/>
      <c r="F20" s="242"/>
      <c r="G20" s="242"/>
      <c r="H20" s="242"/>
    </row>
    <row r="21" spans="2:8" x14ac:dyDescent="0.2">
      <c r="B21" s="240"/>
      <c r="C21" s="242"/>
      <c r="D21" s="242"/>
      <c r="E21" s="242"/>
      <c r="F21" s="242"/>
      <c r="G21" s="242"/>
      <c r="H21" s="242"/>
    </row>
    <row r="22" spans="2:8" x14ac:dyDescent="0.2">
      <c r="B22" s="259" t="s">
        <v>23</v>
      </c>
      <c r="C22" s="257">
        <f t="shared" ref="C22:H22" si="9">SUM(C19:C21)</f>
        <v>0</v>
      </c>
      <c r="D22" s="257">
        <f t="shared" si="9"/>
        <v>0</v>
      </c>
      <c r="E22" s="257">
        <f t="shared" si="9"/>
        <v>0</v>
      </c>
      <c r="F22" s="257">
        <f t="shared" si="9"/>
        <v>0</v>
      </c>
      <c r="G22" s="257">
        <f t="shared" si="9"/>
        <v>0</v>
      </c>
      <c r="H22" s="257">
        <f t="shared" si="9"/>
        <v>0</v>
      </c>
    </row>
    <row r="23" spans="2:8" x14ac:dyDescent="0.2">
      <c r="B23" s="231"/>
      <c r="C23" s="231"/>
      <c r="D23" s="231"/>
      <c r="E23" s="231"/>
      <c r="F23" s="231"/>
      <c r="G23" s="231"/>
      <c r="H23" s="231"/>
    </row>
    <row r="24" spans="2:8" ht="13.5" thickBot="1" x14ac:dyDescent="0.25">
      <c r="B24" s="238" t="s">
        <v>24</v>
      </c>
      <c r="C24" s="247">
        <f t="shared" ref="C24:H24" si="10">+C5</f>
        <v>44805</v>
      </c>
      <c r="D24" s="247">
        <f t="shared" si="10"/>
        <v>45170</v>
      </c>
      <c r="E24" s="247">
        <f t="shared" si="10"/>
        <v>45536</v>
      </c>
      <c r="F24" s="247">
        <f t="shared" si="10"/>
        <v>45901</v>
      </c>
      <c r="G24" s="247">
        <f t="shared" si="10"/>
        <v>46266</v>
      </c>
      <c r="H24" s="247">
        <f t="shared" si="10"/>
        <v>46631</v>
      </c>
    </row>
    <row r="25" spans="2:8" ht="13.5" thickTop="1" x14ac:dyDescent="0.2">
      <c r="B25" s="258"/>
      <c r="C25" s="242"/>
      <c r="D25" s="242"/>
      <c r="E25" s="242"/>
      <c r="F25" s="242"/>
      <c r="G25" s="242"/>
      <c r="H25" s="242"/>
    </row>
    <row r="26" spans="2:8" x14ac:dyDescent="0.2">
      <c r="B26" s="240"/>
      <c r="C26" s="242"/>
      <c r="D26" s="242"/>
      <c r="E26" s="242"/>
      <c r="F26" s="242"/>
      <c r="G26" s="242"/>
      <c r="H26" s="242"/>
    </row>
    <row r="27" spans="2:8" x14ac:dyDescent="0.2">
      <c r="B27" s="240"/>
      <c r="C27" s="242"/>
      <c r="D27" s="242"/>
      <c r="E27" s="242"/>
      <c r="F27" s="242"/>
      <c r="G27" s="242"/>
      <c r="H27" s="242"/>
    </row>
    <row r="28" spans="2:8" x14ac:dyDescent="0.2">
      <c r="B28" s="244" t="s">
        <v>25</v>
      </c>
      <c r="C28" s="257">
        <f t="shared" ref="C28" si="11">SUM(C25:C27)</f>
        <v>0</v>
      </c>
      <c r="D28" s="257">
        <f t="shared" ref="D28" si="12">SUM(D25:D27)</f>
        <v>0</v>
      </c>
      <c r="E28" s="257">
        <f t="shared" ref="E28" si="13">SUM(E25:E27)</f>
        <v>0</v>
      </c>
      <c r="F28" s="257">
        <f t="shared" ref="F28" si="14">SUM(F25:F27)</f>
        <v>0</v>
      </c>
      <c r="G28" s="257">
        <f t="shared" ref="G28" si="15">SUM(G25:G27)</f>
        <v>0</v>
      </c>
      <c r="H28" s="257">
        <f t="shared" ref="H28" si="16">SUM(H25:H27)</f>
        <v>0</v>
      </c>
    </row>
    <row r="29" spans="2:8" ht="18.75" customHeight="1" x14ac:dyDescent="0.2">
      <c r="B29" s="231"/>
      <c r="C29" s="231"/>
      <c r="D29" s="231"/>
      <c r="E29" s="231"/>
      <c r="F29" s="231"/>
      <c r="G29" s="231"/>
      <c r="H29" s="231"/>
    </row>
    <row r="30" spans="2:8" ht="13.5" thickBot="1" x14ac:dyDescent="0.25">
      <c r="B30" s="238" t="s">
        <v>26</v>
      </c>
      <c r="C30" s="247">
        <f t="shared" ref="C30:H30" si="17">+C5</f>
        <v>44805</v>
      </c>
      <c r="D30" s="247">
        <f t="shared" si="17"/>
        <v>45170</v>
      </c>
      <c r="E30" s="247">
        <f t="shared" si="17"/>
        <v>45536</v>
      </c>
      <c r="F30" s="247">
        <f t="shared" si="17"/>
        <v>45901</v>
      </c>
      <c r="G30" s="247">
        <f t="shared" si="17"/>
        <v>46266</v>
      </c>
      <c r="H30" s="247">
        <f t="shared" si="17"/>
        <v>46631</v>
      </c>
    </row>
    <row r="31" spans="2:8" ht="13.5" thickTop="1" x14ac:dyDescent="0.2">
      <c r="B31" s="258"/>
      <c r="C31" s="242"/>
      <c r="D31" s="242"/>
      <c r="E31" s="242"/>
      <c r="F31" s="242"/>
      <c r="G31" s="242"/>
      <c r="H31" s="242"/>
    </row>
    <row r="32" spans="2:8" x14ac:dyDescent="0.2">
      <c r="B32" s="240"/>
      <c r="C32" s="242"/>
      <c r="D32" s="242"/>
      <c r="E32" s="242"/>
      <c r="F32" s="242"/>
      <c r="G32" s="242"/>
      <c r="H32" s="242"/>
    </row>
    <row r="33" spans="2:8" x14ac:dyDescent="0.2">
      <c r="B33" s="240"/>
      <c r="C33" s="242"/>
      <c r="D33" s="242"/>
      <c r="E33" s="242"/>
      <c r="F33" s="242"/>
      <c r="G33" s="242"/>
      <c r="H33" s="242"/>
    </row>
    <row r="34" spans="2:8" x14ac:dyDescent="0.2">
      <c r="B34" s="244" t="s">
        <v>27</v>
      </c>
      <c r="C34" s="257">
        <f t="shared" ref="C34:H34" si="18">SUM(C31:C33)</f>
        <v>0</v>
      </c>
      <c r="D34" s="257">
        <f t="shared" si="18"/>
        <v>0</v>
      </c>
      <c r="E34" s="257">
        <f t="shared" si="18"/>
        <v>0</v>
      </c>
      <c r="F34" s="257">
        <f t="shared" si="18"/>
        <v>0</v>
      </c>
      <c r="G34" s="257">
        <f t="shared" si="18"/>
        <v>0</v>
      </c>
      <c r="H34" s="257">
        <f t="shared" si="18"/>
        <v>0</v>
      </c>
    </row>
    <row r="35" spans="2:8" x14ac:dyDescent="0.2">
      <c r="B35" s="260"/>
      <c r="C35" s="261"/>
      <c r="D35" s="261"/>
      <c r="E35" s="261"/>
      <c r="F35" s="261"/>
      <c r="G35" s="261"/>
      <c r="H35" s="261"/>
    </row>
    <row r="36" spans="2:8" ht="18" thickBot="1" x14ac:dyDescent="0.35">
      <c r="B36" s="262" t="s">
        <v>28</v>
      </c>
      <c r="C36" s="263">
        <f t="shared" ref="C36:H36" si="19">C34+C28+C22+C16+C9</f>
        <v>30000</v>
      </c>
      <c r="D36" s="263">
        <f t="shared" si="19"/>
        <v>60000</v>
      </c>
      <c r="E36" s="263">
        <f t="shared" si="19"/>
        <v>120000</v>
      </c>
      <c r="F36" s="263">
        <f t="shared" si="19"/>
        <v>500000</v>
      </c>
      <c r="G36" s="263">
        <f t="shared" si="19"/>
        <v>700000</v>
      </c>
      <c r="H36" s="263">
        <f t="shared" si="19"/>
        <v>800000</v>
      </c>
    </row>
    <row r="37" spans="2:8" ht="18.75" thickTop="1" thickBot="1" x14ac:dyDescent="0.35">
      <c r="B37" s="264"/>
      <c r="C37" s="265"/>
      <c r="D37" s="265"/>
      <c r="E37" s="265"/>
      <c r="F37" s="265"/>
      <c r="G37" s="265"/>
      <c r="H37" s="265"/>
    </row>
    <row r="38" spans="2:8" ht="15.75" thickTop="1" x14ac:dyDescent="0.25">
      <c r="B38" s="236" t="s">
        <v>29</v>
      </c>
      <c r="C38" s="261"/>
      <c r="D38" s="261"/>
      <c r="E38" s="261"/>
      <c r="F38" s="261"/>
      <c r="G38" s="261"/>
      <c r="H38" s="261"/>
    </row>
    <row r="39" spans="2:8" ht="13.5" thickBot="1" x14ac:dyDescent="0.25">
      <c r="B39" s="266" t="s">
        <v>109</v>
      </c>
      <c r="C39" s="267">
        <f t="shared" ref="C39:H39" si="20">+C5</f>
        <v>44805</v>
      </c>
      <c r="D39" s="267">
        <f t="shared" si="20"/>
        <v>45170</v>
      </c>
      <c r="E39" s="267">
        <f t="shared" si="20"/>
        <v>45536</v>
      </c>
      <c r="F39" s="267">
        <f t="shared" si="20"/>
        <v>45901</v>
      </c>
      <c r="G39" s="267">
        <f t="shared" si="20"/>
        <v>46266</v>
      </c>
      <c r="H39" s="267">
        <f t="shared" si="20"/>
        <v>46631</v>
      </c>
    </row>
    <row r="40" spans="2:8" ht="13.5" thickTop="1" x14ac:dyDescent="0.2">
      <c r="B40" s="268" t="s">
        <v>120</v>
      </c>
      <c r="C40" s="65">
        <v>60000</v>
      </c>
      <c r="D40" s="269">
        <v>12000</v>
      </c>
      <c r="E40" s="269">
        <v>30000</v>
      </c>
      <c r="F40" s="269">
        <v>300000</v>
      </c>
      <c r="G40" s="269">
        <v>280000</v>
      </c>
      <c r="H40" s="269">
        <v>250000</v>
      </c>
    </row>
    <row r="41" spans="2:8" x14ac:dyDescent="0.2">
      <c r="B41" s="268" t="s">
        <v>30</v>
      </c>
      <c r="C41" s="269"/>
      <c r="D41" s="269"/>
      <c r="E41" s="269"/>
      <c r="F41" s="269"/>
      <c r="G41" s="269"/>
      <c r="H41" s="269"/>
    </row>
    <row r="42" spans="2:8" x14ac:dyDescent="0.2">
      <c r="B42" s="268" t="s">
        <v>121</v>
      </c>
      <c r="C42" s="269"/>
      <c r="D42" s="269"/>
      <c r="E42" s="269"/>
      <c r="F42" s="269"/>
      <c r="G42" s="269"/>
      <c r="H42" s="269"/>
    </row>
    <row r="43" spans="2:8" x14ac:dyDescent="0.2">
      <c r="B43" s="268" t="s">
        <v>31</v>
      </c>
      <c r="C43" s="269"/>
      <c r="D43" s="269"/>
      <c r="E43" s="269"/>
      <c r="F43" s="269"/>
      <c r="G43" s="269"/>
      <c r="H43" s="269"/>
    </row>
    <row r="44" spans="2:8" x14ac:dyDescent="0.2">
      <c r="B44" s="268"/>
      <c r="C44" s="269"/>
      <c r="D44" s="269"/>
      <c r="E44" s="269"/>
      <c r="F44" s="269"/>
      <c r="G44" s="269"/>
      <c r="H44" s="269"/>
    </row>
    <row r="45" spans="2:8" ht="13.5" thickBot="1" x14ac:dyDescent="0.25">
      <c r="B45" s="268"/>
      <c r="C45" s="269"/>
      <c r="D45" s="269"/>
      <c r="E45" s="269"/>
      <c r="F45" s="269"/>
      <c r="G45" s="269"/>
      <c r="H45" s="269"/>
    </row>
    <row r="46" spans="2:8" ht="13.5" thickTop="1" x14ac:dyDescent="0.2">
      <c r="B46" s="270" t="s">
        <v>111</v>
      </c>
      <c r="C46" s="271">
        <f>SUM(C40:C45)</f>
        <v>60000</v>
      </c>
      <c r="D46" s="271">
        <f t="shared" ref="D46:H46" si="21">SUM(D40:D45)</f>
        <v>12000</v>
      </c>
      <c r="E46" s="271">
        <f t="shared" si="21"/>
        <v>30000</v>
      </c>
      <c r="F46" s="271">
        <f t="shared" si="21"/>
        <v>300000</v>
      </c>
      <c r="G46" s="271">
        <f t="shared" si="21"/>
        <v>280000</v>
      </c>
      <c r="H46" s="272">
        <f t="shared" si="21"/>
        <v>250000</v>
      </c>
    </row>
    <row r="47" spans="2:8" s="246" customFormat="1" x14ac:dyDescent="0.2">
      <c r="C47" s="273">
        <f>C46*-1</f>
        <v>-60000</v>
      </c>
      <c r="D47" s="273">
        <f t="shared" ref="D47:H47" si="22">D46*-1</f>
        <v>-12000</v>
      </c>
      <c r="E47" s="273">
        <f t="shared" si="22"/>
        <v>-30000</v>
      </c>
      <c r="F47" s="273">
        <f t="shared" si="22"/>
        <v>-300000</v>
      </c>
      <c r="G47" s="273">
        <f t="shared" si="22"/>
        <v>-280000</v>
      </c>
      <c r="H47" s="273">
        <f t="shared" si="22"/>
        <v>-250000</v>
      </c>
    </row>
    <row r="48" spans="2:8" ht="13.5" thickBot="1" x14ac:dyDescent="0.25">
      <c r="B48" s="266" t="s">
        <v>110</v>
      </c>
      <c r="C48" s="267">
        <f t="shared" ref="C48:H48" si="23">+C5</f>
        <v>44805</v>
      </c>
      <c r="D48" s="267">
        <f t="shared" si="23"/>
        <v>45170</v>
      </c>
      <c r="E48" s="267">
        <f t="shared" si="23"/>
        <v>45536</v>
      </c>
      <c r="F48" s="267">
        <f t="shared" si="23"/>
        <v>45901</v>
      </c>
      <c r="G48" s="267">
        <f t="shared" si="23"/>
        <v>46266</v>
      </c>
      <c r="H48" s="267">
        <f t="shared" si="23"/>
        <v>46631</v>
      </c>
    </row>
    <row r="49" spans="2:8" ht="13.5" thickTop="1" x14ac:dyDescent="0.2">
      <c r="B49" s="268" t="s">
        <v>224</v>
      </c>
      <c r="C49" s="269"/>
      <c r="D49" s="269"/>
      <c r="E49" s="269"/>
      <c r="F49" s="269"/>
      <c r="G49" s="269"/>
      <c r="H49" s="269"/>
    </row>
    <row r="50" spans="2:8" x14ac:dyDescent="0.2">
      <c r="B50" s="268"/>
      <c r="C50" s="269"/>
      <c r="D50" s="269"/>
      <c r="E50" s="269"/>
      <c r="F50" s="269"/>
      <c r="G50" s="269"/>
      <c r="H50" s="269"/>
    </row>
    <row r="51" spans="2:8" x14ac:dyDescent="0.2">
      <c r="B51" s="268"/>
      <c r="C51" s="269"/>
      <c r="D51" s="269"/>
      <c r="E51" s="269"/>
      <c r="F51" s="269"/>
      <c r="G51" s="269"/>
      <c r="H51" s="269"/>
    </row>
    <row r="52" spans="2:8" x14ac:dyDescent="0.2">
      <c r="B52" s="270" t="s">
        <v>32</v>
      </c>
      <c r="C52" s="271">
        <f t="shared" ref="C52:F52" si="24">SUM(C49:C51)</f>
        <v>0</v>
      </c>
      <c r="D52" s="271">
        <f t="shared" si="24"/>
        <v>0</v>
      </c>
      <c r="E52" s="271">
        <f t="shared" si="24"/>
        <v>0</v>
      </c>
      <c r="F52" s="271">
        <f t="shared" si="24"/>
        <v>0</v>
      </c>
      <c r="G52" s="271">
        <f>SUM(G49:G51)</f>
        <v>0</v>
      </c>
      <c r="H52" s="271">
        <f t="shared" ref="H52" si="25">SUM(H49:H51)</f>
        <v>0</v>
      </c>
    </row>
    <row r="53" spans="2:8" s="246" customFormat="1" x14ac:dyDescent="0.2">
      <c r="B53" s="274"/>
      <c r="C53" s="275">
        <f>C52*-1</f>
        <v>0</v>
      </c>
      <c r="D53" s="275">
        <f t="shared" ref="D53:H53" si="26">D52*-1</f>
        <v>0</v>
      </c>
      <c r="E53" s="275">
        <f t="shared" si="26"/>
        <v>0</v>
      </c>
      <c r="F53" s="275">
        <f t="shared" si="26"/>
        <v>0</v>
      </c>
      <c r="G53" s="275">
        <f t="shared" si="26"/>
        <v>0</v>
      </c>
      <c r="H53" s="275">
        <f t="shared" si="26"/>
        <v>0</v>
      </c>
    </row>
    <row r="54" spans="2:8" ht="18" thickBot="1" x14ac:dyDescent="0.35">
      <c r="B54" s="276" t="s">
        <v>33</v>
      </c>
      <c r="C54" s="277">
        <f t="shared" ref="C54:H54" si="27">C46+C52</f>
        <v>60000</v>
      </c>
      <c r="D54" s="277">
        <f t="shared" si="27"/>
        <v>12000</v>
      </c>
      <c r="E54" s="277">
        <f t="shared" si="27"/>
        <v>30000</v>
      </c>
      <c r="F54" s="277">
        <f t="shared" si="27"/>
        <v>300000</v>
      </c>
      <c r="G54" s="277">
        <f t="shared" si="27"/>
        <v>280000</v>
      </c>
      <c r="H54" s="277">
        <f t="shared" si="27"/>
        <v>250000</v>
      </c>
    </row>
    <row r="55" spans="2:8" s="246" customFormat="1" ht="18" thickTop="1" x14ac:dyDescent="0.3">
      <c r="B55" s="278"/>
      <c r="C55" s="279">
        <f>-C54</f>
        <v>-60000</v>
      </c>
      <c r="D55" s="279">
        <f t="shared" ref="D55:H55" si="28">-D54</f>
        <v>-12000</v>
      </c>
      <c r="E55" s="279">
        <f t="shared" si="28"/>
        <v>-30000</v>
      </c>
      <c r="F55" s="279">
        <f t="shared" si="28"/>
        <v>-300000</v>
      </c>
      <c r="G55" s="279">
        <f t="shared" si="28"/>
        <v>-280000</v>
      </c>
      <c r="H55" s="279">
        <f t="shared" si="28"/>
        <v>-250000</v>
      </c>
    </row>
    <row r="56" spans="2:8" x14ac:dyDescent="0.2">
      <c r="C56" s="280"/>
      <c r="D56" s="280"/>
      <c r="E56" s="280"/>
      <c r="F56" s="280"/>
      <c r="G56" s="280"/>
      <c r="H56" s="280"/>
    </row>
    <row r="57" spans="2:8" ht="17.25" x14ac:dyDescent="0.3">
      <c r="B57" s="281" t="s">
        <v>34</v>
      </c>
      <c r="C57" s="282">
        <f t="shared" ref="C57:H57" si="29">+C36-C54</f>
        <v>-30000</v>
      </c>
      <c r="D57" s="282">
        <f t="shared" si="29"/>
        <v>48000</v>
      </c>
      <c r="E57" s="282">
        <f t="shared" si="29"/>
        <v>90000</v>
      </c>
      <c r="F57" s="282">
        <f t="shared" si="29"/>
        <v>200000</v>
      </c>
      <c r="G57" s="282">
        <f t="shared" si="29"/>
        <v>420000</v>
      </c>
      <c r="H57" s="282">
        <f t="shared" si="29"/>
        <v>550000</v>
      </c>
    </row>
    <row r="58" spans="2:8" x14ac:dyDescent="0.2">
      <c r="B58" s="283" t="s">
        <v>35</v>
      </c>
      <c r="D58" s="280">
        <f>D57-C57</f>
        <v>78000</v>
      </c>
      <c r="E58" s="280">
        <f t="shared" ref="E58:G58" si="30">E57-D57</f>
        <v>42000</v>
      </c>
      <c r="F58" s="280">
        <f t="shared" si="30"/>
        <v>110000</v>
      </c>
      <c r="G58" s="280">
        <f t="shared" si="30"/>
        <v>220000</v>
      </c>
      <c r="H58" s="280">
        <f t="shared" ref="H58" si="31">H57-G57</f>
        <v>130000</v>
      </c>
    </row>
    <row r="59" spans="2:8" x14ac:dyDescent="0.2">
      <c r="B59" s="283" t="s">
        <v>36</v>
      </c>
      <c r="C59" s="284"/>
      <c r="D59" s="285">
        <f>D58/C57</f>
        <v>-2.6</v>
      </c>
      <c r="E59" s="285">
        <f t="shared" ref="E59:F59" si="32">E58/D57</f>
        <v>0.875</v>
      </c>
      <c r="F59" s="285">
        <f t="shared" si="32"/>
        <v>1.2222222222222223</v>
      </c>
      <c r="G59" s="285">
        <f t="shared" ref="G59" si="33">G58/F57</f>
        <v>1.1000000000000001</v>
      </c>
      <c r="H59" s="285">
        <f t="shared" ref="H59" si="34">H58/G57</f>
        <v>0.30952380952380953</v>
      </c>
    </row>
    <row r="61" spans="2:8" ht="13.5" thickBot="1" x14ac:dyDescent="0.25">
      <c r="B61" s="286" t="s">
        <v>37</v>
      </c>
      <c r="C61" s="249">
        <f t="shared" ref="C61:H61" si="35">+C5</f>
        <v>44805</v>
      </c>
      <c r="D61" s="249">
        <f t="shared" si="35"/>
        <v>45170</v>
      </c>
      <c r="E61" s="249">
        <f t="shared" si="35"/>
        <v>45536</v>
      </c>
      <c r="F61" s="249">
        <f t="shared" si="35"/>
        <v>45901</v>
      </c>
      <c r="G61" s="249">
        <f t="shared" si="35"/>
        <v>46266</v>
      </c>
      <c r="H61" s="249">
        <f t="shared" si="35"/>
        <v>46631</v>
      </c>
    </row>
    <row r="62" spans="2:8" ht="61.5" customHeight="1" thickTop="1" x14ac:dyDescent="0.2">
      <c r="B62" s="250"/>
      <c r="C62" s="287"/>
      <c r="D62" s="287"/>
      <c r="E62" s="288"/>
      <c r="F62" s="287"/>
      <c r="G62" s="288"/>
      <c r="H62" s="288"/>
    </row>
    <row r="63" spans="2:8" ht="35.25" customHeight="1" x14ac:dyDescent="0.2">
      <c r="B63" s="250"/>
      <c r="C63" s="288"/>
      <c r="D63" s="288"/>
      <c r="E63" s="288"/>
      <c r="F63" s="288"/>
      <c r="G63" s="288"/>
      <c r="H63" s="288"/>
    </row>
    <row r="64" spans="2:8" ht="35.25" customHeight="1" x14ac:dyDescent="0.2">
      <c r="B64" s="250"/>
      <c r="C64" s="288"/>
      <c r="D64" s="288"/>
      <c r="E64" s="288"/>
      <c r="F64" s="288"/>
      <c r="G64" s="288"/>
      <c r="H64" s="288"/>
    </row>
  </sheetData>
  <sheetProtection formatColumns="0" formatRows="0" insertColumns="0" insertRows="0" deleteColumns="0" deleteRows="0" selectLockedCells="1"/>
  <mergeCells count="1">
    <mergeCell ref="B2:E2"/>
  </mergeCells>
  <phoneticPr fontId="0" type="noConversion"/>
  <conditionalFormatting sqref="C57">
    <cfRule type="cellIs" dxfId="542" priority="9" operator="lessThan">
      <formula>0</formula>
    </cfRule>
  </conditionalFormatting>
  <conditionalFormatting sqref="D57">
    <cfRule type="cellIs" dxfId="541" priority="8" operator="lessThan">
      <formula>0</formula>
    </cfRule>
  </conditionalFormatting>
  <conditionalFormatting sqref="E57">
    <cfRule type="cellIs" dxfId="540" priority="7" operator="lessThan">
      <formula>0</formula>
    </cfRule>
  </conditionalFormatting>
  <conditionalFormatting sqref="F57">
    <cfRule type="cellIs" dxfId="539" priority="6" operator="lessThan">
      <formula>0</formula>
    </cfRule>
  </conditionalFormatting>
  <conditionalFormatting sqref="G57">
    <cfRule type="cellIs" dxfId="538" priority="5" operator="lessThan">
      <formula>0</formula>
    </cfRule>
  </conditionalFormatting>
  <conditionalFormatting sqref="H57">
    <cfRule type="cellIs" dxfId="537" priority="4" operator="lessThan">
      <formula>0</formula>
    </cfRule>
  </conditionalFormatting>
  <printOptions horizontalCentered="1" verticalCentered="1"/>
  <pageMargins left="0.5" right="0.5" top="0.5" bottom="0.5" header="0.5" footer="0.5"/>
  <pageSetup scale="72" orientation="portrait" horizontalDpi="4294967294" r:id="rId1"/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1C63-8DD2-489A-B6FA-C91885A8EF69}">
  <sheetPr>
    <pageSetUpPr fitToPage="1"/>
  </sheetPr>
  <dimension ref="B2:H65"/>
  <sheetViews>
    <sheetView showGridLines="0" topLeftCell="A37" zoomScale="130" zoomScaleNormal="130" zoomScaleSheetLayoutView="100" workbookViewId="0">
      <selection activeCell="D12" sqref="D12:D13"/>
    </sheetView>
  </sheetViews>
  <sheetFormatPr baseColWidth="10" defaultColWidth="8.85546875" defaultRowHeight="12.75" x14ac:dyDescent="0.2"/>
  <cols>
    <col min="1" max="1" width="2.85546875" customWidth="1"/>
    <col min="2" max="2" width="35" style="7" customWidth="1"/>
    <col min="3" max="8" width="17.5703125" style="7" customWidth="1"/>
  </cols>
  <sheetData>
    <row r="2" spans="2:8" ht="29.25" customHeight="1" thickBot="1" x14ac:dyDescent="0.35">
      <c r="B2" s="406" t="str">
        <f>+Informations!B23</f>
        <v xml:space="preserve"> </v>
      </c>
      <c r="C2" s="406"/>
      <c r="D2" s="8"/>
      <c r="E2" s="8"/>
      <c r="F2" s="8"/>
      <c r="G2" s="8"/>
      <c r="H2" s="8"/>
    </row>
    <row r="3" spans="2:8" ht="18.75" customHeight="1" thickTop="1" thickBot="1" x14ac:dyDescent="0.3">
      <c r="B3" s="124" t="str">
        <f>"Année fiscale au"&amp;" "&amp;Informations!B24</f>
        <v xml:space="preserve">Année fiscale au </v>
      </c>
      <c r="C3" s="1"/>
      <c r="D3" s="1"/>
      <c r="E3" s="1"/>
      <c r="F3" s="1"/>
      <c r="G3" s="1"/>
      <c r="H3" s="1"/>
    </row>
    <row r="4" spans="2:8" ht="15.75" thickTop="1" x14ac:dyDescent="0.25">
      <c r="B4" s="2" t="s">
        <v>17</v>
      </c>
    </row>
    <row r="5" spans="2:8" ht="13.5" thickBot="1" x14ac:dyDescent="0.25">
      <c r="B5" s="29" t="s">
        <v>18</v>
      </c>
      <c r="C5" s="30">
        <f>+'Bilan Perso'!C5</f>
        <v>44805</v>
      </c>
      <c r="D5" s="30">
        <f>+'Bilan Perso'!D5</f>
        <v>45170</v>
      </c>
      <c r="E5" s="30">
        <f>+'Bilan Perso'!E5</f>
        <v>45536</v>
      </c>
      <c r="F5" s="30">
        <f>+'Bilan Perso'!F5</f>
        <v>45901</v>
      </c>
      <c r="G5" s="30">
        <f>+'Bilan Perso'!G5</f>
        <v>46266</v>
      </c>
      <c r="H5" s="30">
        <f>+'Bilan Perso'!H5</f>
        <v>46631</v>
      </c>
    </row>
    <row r="6" spans="2:8" ht="13.5" thickTop="1" x14ac:dyDescent="0.2">
      <c r="B6" s="11" t="s">
        <v>225</v>
      </c>
      <c r="C6" s="63"/>
      <c r="D6" s="63"/>
      <c r="E6" s="63"/>
      <c r="F6" s="63"/>
      <c r="G6" s="63"/>
      <c r="H6" s="63"/>
    </row>
    <row r="7" spans="2:8" x14ac:dyDescent="0.2">
      <c r="B7" s="11"/>
      <c r="C7" s="63"/>
      <c r="D7" s="63"/>
      <c r="E7" s="63"/>
      <c r="F7" s="63"/>
      <c r="G7" s="63"/>
      <c r="H7" s="63"/>
    </row>
    <row r="8" spans="2:8" x14ac:dyDescent="0.2">
      <c r="B8" s="11"/>
      <c r="C8" s="63"/>
      <c r="D8" s="63"/>
      <c r="E8" s="63"/>
      <c r="F8" s="63"/>
      <c r="G8" s="63"/>
      <c r="H8" s="63"/>
    </row>
    <row r="9" spans="2:8" x14ac:dyDescent="0.2">
      <c r="B9" s="24" t="s">
        <v>19</v>
      </c>
      <c r="C9" s="71">
        <f t="shared" ref="C9" si="0">SUM(C6:C8)</f>
        <v>0</v>
      </c>
      <c r="D9" s="71">
        <f t="shared" ref="D9:H9" si="1">SUM(D6:D8)</f>
        <v>0</v>
      </c>
      <c r="E9" s="71">
        <f t="shared" si="1"/>
        <v>0</v>
      </c>
      <c r="F9" s="71">
        <f t="shared" si="1"/>
        <v>0</v>
      </c>
      <c r="G9" s="71">
        <f t="shared" si="1"/>
        <v>0</v>
      </c>
      <c r="H9" s="71">
        <f t="shared" si="1"/>
        <v>0</v>
      </c>
    </row>
    <row r="10" spans="2:8" x14ac:dyDescent="0.2">
      <c r="B10"/>
      <c r="C10" s="52">
        <v>2021</v>
      </c>
      <c r="D10" s="52">
        <v>2022</v>
      </c>
      <c r="E10" s="52">
        <v>2023</v>
      </c>
      <c r="F10" s="52">
        <v>2024</v>
      </c>
      <c r="G10" s="52">
        <v>2025</v>
      </c>
      <c r="H10" s="52">
        <v>2026</v>
      </c>
    </row>
    <row r="11" spans="2:8" ht="13.5" thickBot="1" x14ac:dyDescent="0.25">
      <c r="B11" s="29" t="s">
        <v>20</v>
      </c>
      <c r="C11" s="30">
        <f>+C5</f>
        <v>44805</v>
      </c>
      <c r="D11" s="30">
        <f t="shared" ref="D11:H11" si="2">+D5</f>
        <v>45170</v>
      </c>
      <c r="E11" s="30">
        <f t="shared" si="2"/>
        <v>45536</v>
      </c>
      <c r="F11" s="30">
        <f t="shared" si="2"/>
        <v>45901</v>
      </c>
      <c r="G11" s="30">
        <f t="shared" si="2"/>
        <v>46266</v>
      </c>
      <c r="H11" s="30">
        <f t="shared" si="2"/>
        <v>46631</v>
      </c>
    </row>
    <row r="12" spans="2:8" ht="13.5" thickTop="1" x14ac:dyDescent="0.2">
      <c r="B12" s="11"/>
      <c r="C12" s="63"/>
      <c r="D12" s="63"/>
      <c r="E12" s="63"/>
      <c r="F12" s="63"/>
      <c r="G12" s="63"/>
      <c r="H12" s="63"/>
    </row>
    <row r="13" spans="2:8" x14ac:dyDescent="0.2">
      <c r="B13" s="11"/>
      <c r="C13" s="63"/>
      <c r="D13" s="63"/>
      <c r="E13" s="63"/>
      <c r="F13" s="63"/>
      <c r="G13" s="63"/>
      <c r="H13" s="63"/>
    </row>
    <row r="14" spans="2:8" x14ac:dyDescent="0.2">
      <c r="B14" s="9"/>
      <c r="C14" s="63"/>
      <c r="D14" s="63"/>
      <c r="E14" s="63"/>
      <c r="F14" s="63"/>
      <c r="G14" s="63"/>
      <c r="H14" s="63"/>
    </row>
    <row r="15" spans="2:8" x14ac:dyDescent="0.2">
      <c r="B15" s="11"/>
      <c r="C15" s="63"/>
      <c r="D15" s="63"/>
      <c r="E15" s="63"/>
      <c r="F15" s="63"/>
      <c r="G15" s="63"/>
      <c r="H15" s="63"/>
    </row>
    <row r="16" spans="2:8" x14ac:dyDescent="0.2">
      <c r="B16" s="11"/>
      <c r="C16" s="63"/>
      <c r="D16" s="63"/>
      <c r="E16" s="63"/>
      <c r="F16" s="63"/>
      <c r="G16" s="63"/>
      <c r="H16" s="63"/>
    </row>
    <row r="17" spans="2:8" x14ac:dyDescent="0.2">
      <c r="B17" s="28" t="s">
        <v>21</v>
      </c>
      <c r="C17" s="71">
        <f>SUM(C12:C16)</f>
        <v>0</v>
      </c>
      <c r="D17" s="71">
        <f t="shared" ref="D17:H17" si="3">SUM(D12:D16)</f>
        <v>0</v>
      </c>
      <c r="E17" s="71">
        <f t="shared" si="3"/>
        <v>0</v>
      </c>
      <c r="F17" s="71">
        <f t="shared" si="3"/>
        <v>0</v>
      </c>
      <c r="G17" s="71">
        <f t="shared" si="3"/>
        <v>0</v>
      </c>
      <c r="H17" s="71">
        <f t="shared" si="3"/>
        <v>0</v>
      </c>
    </row>
    <row r="18" spans="2:8" x14ac:dyDescent="0.2">
      <c r="B18"/>
      <c r="C18"/>
      <c r="D18"/>
      <c r="E18"/>
      <c r="F18"/>
      <c r="G18"/>
      <c r="H18"/>
    </row>
    <row r="19" spans="2:8" ht="13.5" thickBot="1" x14ac:dyDescent="0.25">
      <c r="B19" s="29" t="s">
        <v>22</v>
      </c>
      <c r="C19" s="30">
        <f>+C5</f>
        <v>44805</v>
      </c>
      <c r="D19" s="30">
        <f t="shared" ref="D19:H19" si="4">+D5</f>
        <v>45170</v>
      </c>
      <c r="E19" s="30">
        <f t="shared" si="4"/>
        <v>45536</v>
      </c>
      <c r="F19" s="30">
        <f t="shared" si="4"/>
        <v>45901</v>
      </c>
      <c r="G19" s="30">
        <f t="shared" si="4"/>
        <v>46266</v>
      </c>
      <c r="H19" s="30">
        <f t="shared" si="4"/>
        <v>46631</v>
      </c>
    </row>
    <row r="20" spans="2:8" ht="13.5" thickTop="1" x14ac:dyDescent="0.2">
      <c r="B20" s="11" t="s">
        <v>112</v>
      </c>
      <c r="C20" s="63"/>
      <c r="D20" s="63"/>
      <c r="E20" s="63"/>
      <c r="F20" s="63"/>
      <c r="G20" s="63"/>
      <c r="H20" s="63"/>
    </row>
    <row r="21" spans="2:8" x14ac:dyDescent="0.2">
      <c r="B21" s="11"/>
      <c r="C21" s="63"/>
      <c r="D21" s="63"/>
      <c r="E21" s="63"/>
      <c r="F21" s="63"/>
      <c r="G21" s="63"/>
      <c r="H21" s="63"/>
    </row>
    <row r="22" spans="2:8" x14ac:dyDescent="0.2">
      <c r="B22" s="11"/>
      <c r="C22" s="63"/>
      <c r="D22" s="63"/>
      <c r="E22" s="63"/>
      <c r="F22" s="63"/>
      <c r="G22" s="63"/>
      <c r="H22" s="63"/>
    </row>
    <row r="23" spans="2:8" x14ac:dyDescent="0.2">
      <c r="B23" s="28" t="s">
        <v>23</v>
      </c>
      <c r="C23" s="71">
        <f t="shared" ref="C23:H23" si="5">SUM(C20:C22)</f>
        <v>0</v>
      </c>
      <c r="D23" s="71">
        <f t="shared" si="5"/>
        <v>0</v>
      </c>
      <c r="E23" s="71">
        <f t="shared" si="5"/>
        <v>0</v>
      </c>
      <c r="F23" s="71">
        <f t="shared" si="5"/>
        <v>0</v>
      </c>
      <c r="G23" s="71">
        <f t="shared" si="5"/>
        <v>0</v>
      </c>
      <c r="H23" s="71">
        <f t="shared" si="5"/>
        <v>0</v>
      </c>
    </row>
    <row r="24" spans="2:8" x14ac:dyDescent="0.2">
      <c r="B24"/>
      <c r="C24"/>
      <c r="D24"/>
      <c r="E24"/>
      <c r="F24"/>
      <c r="G24"/>
      <c r="H24"/>
    </row>
    <row r="25" spans="2:8" ht="13.5" thickBot="1" x14ac:dyDescent="0.25">
      <c r="B25" s="29" t="s">
        <v>24</v>
      </c>
      <c r="C25" s="30">
        <f>+C5</f>
        <v>44805</v>
      </c>
      <c r="D25" s="30">
        <f t="shared" ref="D25:H25" si="6">+D5</f>
        <v>45170</v>
      </c>
      <c r="E25" s="30">
        <f t="shared" si="6"/>
        <v>45536</v>
      </c>
      <c r="F25" s="30">
        <f t="shared" si="6"/>
        <v>45901</v>
      </c>
      <c r="G25" s="30">
        <f t="shared" si="6"/>
        <v>46266</v>
      </c>
      <c r="H25" s="30">
        <f t="shared" si="6"/>
        <v>46631</v>
      </c>
    </row>
    <row r="26" spans="2:8" ht="13.5" thickTop="1" x14ac:dyDescent="0.2">
      <c r="B26" s="9" t="s">
        <v>226</v>
      </c>
      <c r="C26" s="63"/>
      <c r="D26" s="63"/>
      <c r="E26" s="63"/>
      <c r="F26" s="63"/>
      <c r="G26" s="63"/>
      <c r="H26" s="63"/>
    </row>
    <row r="27" spans="2:8" x14ac:dyDescent="0.2">
      <c r="B27" s="11" t="s">
        <v>113</v>
      </c>
      <c r="C27" s="63"/>
      <c r="D27" s="63"/>
      <c r="E27" s="63"/>
      <c r="F27" s="63"/>
      <c r="G27" s="63"/>
      <c r="H27" s="63"/>
    </row>
    <row r="28" spans="2:8" x14ac:dyDescent="0.2">
      <c r="B28" s="11"/>
      <c r="C28" s="63"/>
      <c r="D28" s="63"/>
      <c r="E28" s="63"/>
      <c r="F28" s="63"/>
      <c r="G28" s="63"/>
      <c r="H28" s="63"/>
    </row>
    <row r="29" spans="2:8" x14ac:dyDescent="0.2">
      <c r="B29" s="24" t="s">
        <v>25</v>
      </c>
      <c r="C29" s="71">
        <f t="shared" ref="C29:H29" si="7">SUM(C26:C28)</f>
        <v>0</v>
      </c>
      <c r="D29" s="71">
        <f t="shared" si="7"/>
        <v>0</v>
      </c>
      <c r="E29" s="71">
        <f t="shared" si="7"/>
        <v>0</v>
      </c>
      <c r="F29" s="71">
        <f t="shared" si="7"/>
        <v>0</v>
      </c>
      <c r="G29" s="71">
        <f t="shared" si="7"/>
        <v>0</v>
      </c>
      <c r="H29" s="71">
        <f t="shared" si="7"/>
        <v>0</v>
      </c>
    </row>
    <row r="30" spans="2:8" ht="18.75" customHeight="1" x14ac:dyDescent="0.2">
      <c r="B30"/>
      <c r="C30"/>
      <c r="D30"/>
      <c r="E30"/>
      <c r="F30"/>
      <c r="G30"/>
      <c r="H30"/>
    </row>
    <row r="31" spans="2:8" ht="13.5" thickBot="1" x14ac:dyDescent="0.25">
      <c r="B31" s="29" t="s">
        <v>26</v>
      </c>
      <c r="C31" s="30">
        <f t="shared" ref="C31:H31" si="8">+C5</f>
        <v>44805</v>
      </c>
      <c r="D31" s="30">
        <f t="shared" si="8"/>
        <v>45170</v>
      </c>
      <c r="E31" s="30">
        <f t="shared" si="8"/>
        <v>45536</v>
      </c>
      <c r="F31" s="30">
        <f t="shared" si="8"/>
        <v>45901</v>
      </c>
      <c r="G31" s="30">
        <f t="shared" si="8"/>
        <v>46266</v>
      </c>
      <c r="H31" s="30">
        <f t="shared" si="8"/>
        <v>46631</v>
      </c>
    </row>
    <row r="32" spans="2:8" ht="13.5" thickTop="1" x14ac:dyDescent="0.2">
      <c r="B32" s="9"/>
      <c r="C32" s="63"/>
      <c r="D32" s="63"/>
      <c r="E32" s="63"/>
      <c r="F32" s="63"/>
      <c r="G32" s="63"/>
      <c r="H32" s="63"/>
    </row>
    <row r="33" spans="2:8" x14ac:dyDescent="0.2">
      <c r="B33" s="11"/>
      <c r="C33" s="63"/>
      <c r="D33" s="63"/>
      <c r="E33" s="63"/>
      <c r="F33" s="63"/>
      <c r="G33" s="63"/>
      <c r="H33" s="63"/>
    </row>
    <row r="34" spans="2:8" x14ac:dyDescent="0.2">
      <c r="B34" s="11"/>
      <c r="C34" s="63"/>
      <c r="D34" s="63"/>
      <c r="E34" s="63"/>
      <c r="F34" s="63"/>
      <c r="G34" s="63"/>
      <c r="H34" s="63"/>
    </row>
    <row r="35" spans="2:8" x14ac:dyDescent="0.2">
      <c r="B35" s="24" t="s">
        <v>27</v>
      </c>
      <c r="C35" s="71">
        <f t="shared" ref="C35:H35" si="9">SUM(C32:C34)</f>
        <v>0</v>
      </c>
      <c r="D35" s="71">
        <f t="shared" si="9"/>
        <v>0</v>
      </c>
      <c r="E35" s="71">
        <f t="shared" si="9"/>
        <v>0</v>
      </c>
      <c r="F35" s="71">
        <f t="shared" si="9"/>
        <v>0</v>
      </c>
      <c r="G35" s="71">
        <f t="shared" si="9"/>
        <v>0</v>
      </c>
      <c r="H35" s="71">
        <f t="shared" si="9"/>
        <v>0</v>
      </c>
    </row>
    <row r="36" spans="2:8" x14ac:dyDescent="0.2">
      <c r="B36" s="3"/>
      <c r="C36" s="4"/>
      <c r="D36" s="4"/>
      <c r="E36" s="4"/>
      <c r="F36" s="4"/>
      <c r="G36" s="4"/>
      <c r="H36" s="4"/>
    </row>
    <row r="37" spans="2:8" ht="18" thickBot="1" x14ac:dyDescent="0.35">
      <c r="B37" s="100" t="s">
        <v>28</v>
      </c>
      <c r="C37" s="64">
        <f>C35+C29+C23+C17+C9</f>
        <v>0</v>
      </c>
      <c r="D37" s="64">
        <f t="shared" ref="D37:H37" si="10">D35+D29+D23+D17+D9</f>
        <v>0</v>
      </c>
      <c r="E37" s="64">
        <f t="shared" si="10"/>
        <v>0</v>
      </c>
      <c r="F37" s="64">
        <f t="shared" si="10"/>
        <v>0</v>
      </c>
      <c r="G37" s="64">
        <f t="shared" si="10"/>
        <v>0</v>
      </c>
      <c r="H37" s="64">
        <f t="shared" si="10"/>
        <v>0</v>
      </c>
    </row>
    <row r="38" spans="2:8" ht="18.75" thickTop="1" thickBot="1" x14ac:dyDescent="0.35">
      <c r="B38" s="5"/>
      <c r="C38" s="6"/>
      <c r="D38" s="6"/>
      <c r="E38" s="6"/>
      <c r="F38" s="6"/>
      <c r="G38" s="6"/>
      <c r="H38" s="6"/>
    </row>
    <row r="39" spans="2:8" ht="15.75" thickTop="1" x14ac:dyDescent="0.25">
      <c r="B39" s="27" t="s">
        <v>29</v>
      </c>
      <c r="C39" s="4"/>
      <c r="D39" s="4"/>
      <c r="E39" s="4"/>
      <c r="F39" s="4"/>
      <c r="G39" s="4"/>
      <c r="H39" s="4"/>
    </row>
    <row r="40" spans="2:8" ht="13.5" thickBot="1" x14ac:dyDescent="0.25">
      <c r="B40" s="32" t="s">
        <v>109</v>
      </c>
      <c r="C40" s="31">
        <f t="shared" ref="C40:H40" si="11">+C5</f>
        <v>44805</v>
      </c>
      <c r="D40" s="31">
        <f t="shared" si="11"/>
        <v>45170</v>
      </c>
      <c r="E40" s="31">
        <f t="shared" si="11"/>
        <v>45536</v>
      </c>
      <c r="F40" s="31">
        <f t="shared" si="11"/>
        <v>45901</v>
      </c>
      <c r="G40" s="31">
        <f t="shared" si="11"/>
        <v>46266</v>
      </c>
      <c r="H40" s="31">
        <f t="shared" si="11"/>
        <v>46631</v>
      </c>
    </row>
    <row r="41" spans="2:8" ht="13.5" thickTop="1" x14ac:dyDescent="0.2">
      <c r="B41" s="10"/>
      <c r="C41" s="65"/>
      <c r="D41" s="65"/>
      <c r="E41" s="65"/>
      <c r="F41" s="65"/>
      <c r="G41" s="65"/>
      <c r="H41" s="65"/>
    </row>
    <row r="42" spans="2:8" x14ac:dyDescent="0.2">
      <c r="B42" s="10"/>
      <c r="C42" s="65"/>
      <c r="D42" s="65"/>
      <c r="E42" s="65"/>
      <c r="F42" s="65"/>
      <c r="G42" s="65"/>
      <c r="H42" s="65"/>
    </row>
    <row r="43" spans="2:8" x14ac:dyDescent="0.2">
      <c r="B43" s="10"/>
      <c r="C43" s="65"/>
      <c r="D43" s="65"/>
      <c r="E43" s="65"/>
      <c r="F43" s="65"/>
      <c r="G43" s="65"/>
      <c r="H43" s="65"/>
    </row>
    <row r="44" spans="2:8" x14ac:dyDescent="0.2">
      <c r="B44" s="10"/>
      <c r="C44" s="65"/>
      <c r="D44" s="65"/>
      <c r="E44" s="65"/>
      <c r="F44" s="65"/>
      <c r="G44" s="65"/>
      <c r="H44" s="65"/>
    </row>
    <row r="45" spans="2:8" ht="13.5" thickBot="1" x14ac:dyDescent="0.25">
      <c r="B45" s="10" t="s">
        <v>118</v>
      </c>
      <c r="C45" s="65"/>
      <c r="D45" s="65"/>
      <c r="E45" s="65"/>
      <c r="F45" s="65"/>
      <c r="G45" s="65"/>
      <c r="H45" s="65"/>
    </row>
    <row r="46" spans="2:8" ht="13.5" thickTop="1" x14ac:dyDescent="0.2">
      <c r="B46" s="25" t="s">
        <v>111</v>
      </c>
      <c r="C46" s="93">
        <f>SUM(C41:C45)</f>
        <v>0</v>
      </c>
      <c r="D46" s="93">
        <f t="shared" ref="D46:H46" si="12">SUM(D41:D45)</f>
        <v>0</v>
      </c>
      <c r="E46" s="93">
        <f t="shared" si="12"/>
        <v>0</v>
      </c>
      <c r="F46" s="93">
        <f t="shared" si="12"/>
        <v>0</v>
      </c>
      <c r="G46" s="93">
        <f t="shared" si="12"/>
        <v>0</v>
      </c>
      <c r="H46" s="94">
        <f t="shared" si="12"/>
        <v>0</v>
      </c>
    </row>
    <row r="47" spans="2:8" s="52" customFormat="1" x14ac:dyDescent="0.2">
      <c r="C47" s="97">
        <f>C46*-1</f>
        <v>0</v>
      </c>
      <c r="D47" s="97">
        <f t="shared" ref="D47:H47" si="13">D46*-1</f>
        <v>0</v>
      </c>
      <c r="E47" s="97">
        <f t="shared" si="13"/>
        <v>0</v>
      </c>
      <c r="F47" s="97">
        <f t="shared" si="13"/>
        <v>0</v>
      </c>
      <c r="G47" s="97">
        <f t="shared" si="13"/>
        <v>0</v>
      </c>
      <c r="H47" s="97">
        <f t="shared" si="13"/>
        <v>0</v>
      </c>
    </row>
    <row r="48" spans="2:8" ht="13.5" thickBot="1" x14ac:dyDescent="0.25">
      <c r="B48" s="32" t="s">
        <v>110</v>
      </c>
      <c r="C48" s="31">
        <f t="shared" ref="C48:H48" si="14">+C5</f>
        <v>44805</v>
      </c>
      <c r="D48" s="31">
        <f t="shared" si="14"/>
        <v>45170</v>
      </c>
      <c r="E48" s="31">
        <f t="shared" si="14"/>
        <v>45536</v>
      </c>
      <c r="F48" s="31">
        <f t="shared" si="14"/>
        <v>45901</v>
      </c>
      <c r="G48" s="31">
        <f t="shared" si="14"/>
        <v>46266</v>
      </c>
      <c r="H48" s="31">
        <f t="shared" si="14"/>
        <v>46631</v>
      </c>
    </row>
    <row r="49" spans="2:8" ht="13.5" thickTop="1" x14ac:dyDescent="0.2">
      <c r="B49" s="10"/>
      <c r="C49" s="65"/>
      <c r="D49" s="65"/>
      <c r="E49" s="65"/>
      <c r="F49" s="65"/>
      <c r="G49" s="65"/>
      <c r="H49" s="65"/>
    </row>
    <row r="50" spans="2:8" x14ac:dyDescent="0.2">
      <c r="B50" s="10"/>
      <c r="C50" s="65"/>
      <c r="D50" s="65"/>
      <c r="E50" s="65"/>
      <c r="F50" s="65"/>
      <c r="G50" s="65"/>
      <c r="H50" s="65"/>
    </row>
    <row r="51" spans="2:8" x14ac:dyDescent="0.2">
      <c r="B51" s="10"/>
      <c r="C51" s="65"/>
      <c r="D51" s="65"/>
      <c r="E51" s="65"/>
      <c r="F51" s="65"/>
      <c r="G51" s="65"/>
      <c r="H51" s="65"/>
    </row>
    <row r="52" spans="2:8" x14ac:dyDescent="0.2">
      <c r="B52" s="25" t="s">
        <v>32</v>
      </c>
      <c r="C52" s="93">
        <f t="shared" ref="C52:F52" si="15">SUM(C49:C51)</f>
        <v>0</v>
      </c>
      <c r="D52" s="93">
        <f t="shared" si="15"/>
        <v>0</v>
      </c>
      <c r="E52" s="93">
        <f t="shared" si="15"/>
        <v>0</v>
      </c>
      <c r="F52" s="93">
        <f t="shared" si="15"/>
        <v>0</v>
      </c>
      <c r="G52" s="93">
        <f>SUM(G49:G51)</f>
        <v>0</v>
      </c>
      <c r="H52" s="93">
        <f t="shared" ref="H52" si="16">SUM(H49:H51)</f>
        <v>0</v>
      </c>
    </row>
    <row r="53" spans="2:8" s="52" customFormat="1" x14ac:dyDescent="0.2">
      <c r="B53" s="98"/>
      <c r="C53" s="99">
        <f>C52*-1</f>
        <v>0</v>
      </c>
      <c r="D53" s="99">
        <f t="shared" ref="D53:H53" si="17">D52*-1</f>
        <v>0</v>
      </c>
      <c r="E53" s="99">
        <f t="shared" si="17"/>
        <v>0</v>
      </c>
      <c r="F53" s="99">
        <f t="shared" si="17"/>
        <v>0</v>
      </c>
      <c r="G53" s="99">
        <f t="shared" si="17"/>
        <v>0</v>
      </c>
      <c r="H53" s="99">
        <f t="shared" si="17"/>
        <v>0</v>
      </c>
    </row>
    <row r="54" spans="2:8" ht="18" thickBot="1" x14ac:dyDescent="0.35">
      <c r="B54" s="26" t="s">
        <v>33</v>
      </c>
      <c r="C54" s="66">
        <f t="shared" ref="C54:H54" si="18">C46+C52</f>
        <v>0</v>
      </c>
      <c r="D54" s="66">
        <f t="shared" si="18"/>
        <v>0</v>
      </c>
      <c r="E54" s="66">
        <f t="shared" si="18"/>
        <v>0</v>
      </c>
      <c r="F54" s="66">
        <f t="shared" si="18"/>
        <v>0</v>
      </c>
      <c r="G54" s="66">
        <f t="shared" si="18"/>
        <v>0</v>
      </c>
      <c r="H54" s="66">
        <f t="shared" si="18"/>
        <v>0</v>
      </c>
    </row>
    <row r="55" spans="2:8" ht="18" hidden="1" thickTop="1" x14ac:dyDescent="0.3">
      <c r="B55" s="96"/>
      <c r="C55" s="68">
        <f>-C54</f>
        <v>0</v>
      </c>
      <c r="D55" s="68">
        <f t="shared" ref="D55:H55" si="19">-D54</f>
        <v>0</v>
      </c>
      <c r="E55" s="68">
        <f t="shared" si="19"/>
        <v>0</v>
      </c>
      <c r="F55" s="68">
        <f t="shared" si="19"/>
        <v>0</v>
      </c>
      <c r="G55" s="68">
        <f t="shared" si="19"/>
        <v>0</v>
      </c>
      <c r="H55" s="68">
        <f t="shared" si="19"/>
        <v>0</v>
      </c>
    </row>
    <row r="56" spans="2:8" ht="13.5" thickTop="1" x14ac:dyDescent="0.2">
      <c r="C56" s="67"/>
      <c r="D56" s="67"/>
      <c r="E56" s="67"/>
      <c r="F56" s="67"/>
      <c r="G56" s="67"/>
      <c r="H56" s="67"/>
    </row>
    <row r="57" spans="2:8" x14ac:dyDescent="0.2">
      <c r="C57" s="67"/>
      <c r="D57" s="67"/>
      <c r="E57" s="67"/>
      <c r="F57" s="67"/>
      <c r="G57" s="67"/>
      <c r="H57" s="67"/>
    </row>
    <row r="58" spans="2:8" ht="17.25" x14ac:dyDescent="0.3">
      <c r="B58" s="12" t="s">
        <v>34</v>
      </c>
      <c r="C58" s="68">
        <f t="shared" ref="C58:H58" si="20">+C37-C54</f>
        <v>0</v>
      </c>
      <c r="D58" s="68">
        <f t="shared" si="20"/>
        <v>0</v>
      </c>
      <c r="E58" s="68">
        <f t="shared" si="20"/>
        <v>0</v>
      </c>
      <c r="F58" s="68">
        <f t="shared" si="20"/>
        <v>0</v>
      </c>
      <c r="G58" s="68">
        <f t="shared" si="20"/>
        <v>0</v>
      </c>
      <c r="H58" s="68">
        <f t="shared" si="20"/>
        <v>0</v>
      </c>
    </row>
    <row r="59" spans="2:8" x14ac:dyDescent="0.2">
      <c r="B59" s="95" t="s">
        <v>35</v>
      </c>
      <c r="D59" s="67">
        <f>D58-C58</f>
        <v>0</v>
      </c>
      <c r="E59" s="67">
        <f t="shared" ref="E59:H59" si="21">E58-D58</f>
        <v>0</v>
      </c>
      <c r="F59" s="67">
        <f t="shared" si="21"/>
        <v>0</v>
      </c>
      <c r="G59" s="67">
        <f t="shared" si="21"/>
        <v>0</v>
      </c>
      <c r="H59" s="67">
        <f t="shared" si="21"/>
        <v>0</v>
      </c>
    </row>
    <row r="60" spans="2:8" x14ac:dyDescent="0.2">
      <c r="B60" s="95" t="s">
        <v>36</v>
      </c>
      <c r="C60" s="101"/>
      <c r="D60" s="102" t="e">
        <f>D59/C58</f>
        <v>#DIV/0!</v>
      </c>
      <c r="E60" s="102" t="e">
        <f t="shared" ref="E60:H60" si="22">E59/D58</f>
        <v>#DIV/0!</v>
      </c>
      <c r="F60" s="102" t="e">
        <f t="shared" si="22"/>
        <v>#DIV/0!</v>
      </c>
      <c r="G60" s="102" t="e">
        <f t="shared" si="22"/>
        <v>#DIV/0!</v>
      </c>
      <c r="H60" s="102" t="e">
        <f t="shared" si="22"/>
        <v>#DIV/0!</v>
      </c>
    </row>
    <row r="62" spans="2:8" ht="13.5" thickBot="1" x14ac:dyDescent="0.25">
      <c r="B62" s="33" t="s">
        <v>37</v>
      </c>
      <c r="C62" s="34">
        <f t="shared" ref="C62:H62" si="23">+C5</f>
        <v>44805</v>
      </c>
      <c r="D62" s="34">
        <f t="shared" si="23"/>
        <v>45170</v>
      </c>
      <c r="E62" s="34">
        <f t="shared" si="23"/>
        <v>45536</v>
      </c>
      <c r="F62" s="34">
        <f t="shared" si="23"/>
        <v>45901</v>
      </c>
      <c r="G62" s="34">
        <f t="shared" si="23"/>
        <v>46266</v>
      </c>
      <c r="H62" s="34">
        <f t="shared" si="23"/>
        <v>46631</v>
      </c>
    </row>
    <row r="63" spans="2:8" ht="70.900000000000006" customHeight="1" thickTop="1" x14ac:dyDescent="0.2">
      <c r="B63" s="35"/>
      <c r="C63" s="73"/>
      <c r="D63" s="73"/>
      <c r="E63" s="36"/>
      <c r="F63" s="73"/>
      <c r="G63" s="36"/>
      <c r="H63" s="36"/>
    </row>
    <row r="64" spans="2:8" ht="35.25" customHeight="1" x14ac:dyDescent="0.2">
      <c r="B64" s="35"/>
      <c r="C64" s="36"/>
      <c r="D64" s="36"/>
      <c r="E64" s="36"/>
      <c r="F64" s="36"/>
      <c r="G64" s="36"/>
      <c r="H64" s="36"/>
    </row>
    <row r="65" spans="2:8" ht="35.25" customHeight="1" x14ac:dyDescent="0.2">
      <c r="B65" s="35"/>
      <c r="C65" s="36"/>
      <c r="D65" s="36"/>
      <c r="E65" s="36"/>
      <c r="F65" s="36"/>
      <c r="G65" s="36"/>
      <c r="H65" s="36"/>
    </row>
  </sheetData>
  <mergeCells count="1">
    <mergeCell ref="B2:C2"/>
  </mergeCells>
  <conditionalFormatting sqref="C58">
    <cfRule type="cellIs" dxfId="367" priority="6" operator="lessThan">
      <formula>0</formula>
    </cfRule>
  </conditionalFormatting>
  <conditionalFormatting sqref="D58">
    <cfRule type="cellIs" dxfId="366" priority="5" operator="lessThan">
      <formula>0</formula>
    </cfRule>
  </conditionalFormatting>
  <conditionalFormatting sqref="E58">
    <cfRule type="cellIs" dxfId="365" priority="4" operator="lessThan">
      <formula>0</formula>
    </cfRule>
  </conditionalFormatting>
  <conditionalFormatting sqref="F58">
    <cfRule type="cellIs" dxfId="364" priority="3" operator="lessThan">
      <formula>0</formula>
    </cfRule>
  </conditionalFormatting>
  <conditionalFormatting sqref="G58">
    <cfRule type="cellIs" dxfId="363" priority="2" operator="lessThan">
      <formula>0</formula>
    </cfRule>
  </conditionalFormatting>
  <conditionalFormatting sqref="H58">
    <cfRule type="cellIs" dxfId="362" priority="1" operator="lessThan">
      <formula>0</formula>
    </cfRule>
  </conditionalFormatting>
  <printOptions horizontalCentered="1" verticalCentered="1"/>
  <pageMargins left="0.5" right="0.5" top="0.5" bottom="0.5" header="0.5" footer="0.5"/>
  <pageSetup scale="72" orientation="portrait" horizontalDpi="4294967294" r:id="rId1"/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D5A4E-7F0C-45DC-911F-AE10D47BADC6}">
  <sheetPr>
    <pageSetUpPr fitToPage="1"/>
  </sheetPr>
  <dimension ref="B2:H65"/>
  <sheetViews>
    <sheetView showGridLines="0" zoomScale="130" zoomScaleNormal="130" zoomScaleSheetLayoutView="100" workbookViewId="0">
      <selection activeCell="F27" sqref="F27"/>
    </sheetView>
  </sheetViews>
  <sheetFormatPr baseColWidth="10" defaultColWidth="8.85546875" defaultRowHeight="12.75" x14ac:dyDescent="0.2"/>
  <cols>
    <col min="1" max="1" width="2.85546875" customWidth="1"/>
    <col min="2" max="2" width="33.85546875" style="7" customWidth="1"/>
    <col min="3" max="8" width="17.5703125" style="7" customWidth="1"/>
  </cols>
  <sheetData>
    <row r="2" spans="2:8" ht="29.25" customHeight="1" thickBot="1" x14ac:dyDescent="0.35">
      <c r="B2" s="406" t="str">
        <f>+Informations!B23</f>
        <v xml:space="preserve"> </v>
      </c>
      <c r="C2" s="406"/>
      <c r="D2" s="8"/>
      <c r="E2" s="8"/>
      <c r="F2" s="8"/>
      <c r="G2" s="8"/>
      <c r="H2" s="8"/>
    </row>
    <row r="3" spans="2:8" ht="18.75" customHeight="1" thickTop="1" thickBot="1" x14ac:dyDescent="0.3">
      <c r="B3" s="124" t="str">
        <f>"Année fiscale au"&amp;" "&amp;Informations!B26</f>
        <v xml:space="preserve">Année fiscale au </v>
      </c>
      <c r="C3" s="1"/>
      <c r="D3" s="1"/>
      <c r="E3" s="1"/>
      <c r="F3" s="1"/>
      <c r="G3" s="1"/>
      <c r="H3" s="1"/>
    </row>
    <row r="4" spans="2:8" ht="15.75" thickTop="1" x14ac:dyDescent="0.25">
      <c r="B4" s="2" t="s">
        <v>17</v>
      </c>
    </row>
    <row r="5" spans="2:8" ht="13.5" thickBot="1" x14ac:dyDescent="0.25">
      <c r="B5" s="29" t="s">
        <v>18</v>
      </c>
      <c r="C5" s="30">
        <f>+'Bilan Perso'!C5</f>
        <v>44805</v>
      </c>
      <c r="D5" s="30">
        <f>+'Bilan Perso'!D5</f>
        <v>45170</v>
      </c>
      <c r="E5" s="30">
        <f>+'Bilan Perso'!E5</f>
        <v>45536</v>
      </c>
      <c r="F5" s="30">
        <f>+'Bilan Perso'!F5</f>
        <v>45901</v>
      </c>
      <c r="G5" s="30">
        <f>+'Bilan Perso'!G5</f>
        <v>46266</v>
      </c>
      <c r="H5" s="30">
        <f>+'Bilan Perso'!H5</f>
        <v>46631</v>
      </c>
    </row>
    <row r="6" spans="2:8" ht="13.5" thickTop="1" x14ac:dyDescent="0.2">
      <c r="B6" s="11" t="s">
        <v>119</v>
      </c>
      <c r="C6" s="63"/>
      <c r="D6" s="63"/>
      <c r="E6" s="63"/>
      <c r="F6" s="63"/>
      <c r="G6" s="63"/>
      <c r="H6" s="63"/>
    </row>
    <row r="7" spans="2:8" x14ac:dyDescent="0.2">
      <c r="B7" s="11"/>
      <c r="C7" s="63"/>
      <c r="D7" s="63"/>
      <c r="E7" s="63"/>
      <c r="F7" s="63"/>
      <c r="G7" s="63"/>
      <c r="H7" s="63"/>
    </row>
    <row r="8" spans="2:8" x14ac:dyDescent="0.2">
      <c r="B8" s="11"/>
      <c r="C8" s="63"/>
      <c r="D8" s="63"/>
      <c r="E8" s="63"/>
      <c r="F8" s="63"/>
      <c r="G8" s="63"/>
      <c r="H8" s="63"/>
    </row>
    <row r="9" spans="2:8" x14ac:dyDescent="0.2">
      <c r="B9" s="24" t="s">
        <v>19</v>
      </c>
      <c r="C9" s="71">
        <f t="shared" ref="C9" si="0">SUM(C6:C8)</f>
        <v>0</v>
      </c>
      <c r="D9" s="71">
        <f t="shared" ref="D9:H9" si="1">SUM(D6:D8)</f>
        <v>0</v>
      </c>
      <c r="E9" s="71">
        <f t="shared" si="1"/>
        <v>0</v>
      </c>
      <c r="F9" s="71">
        <f t="shared" si="1"/>
        <v>0</v>
      </c>
      <c r="G9" s="71">
        <f t="shared" si="1"/>
        <v>0</v>
      </c>
      <c r="H9" s="71">
        <f t="shared" si="1"/>
        <v>0</v>
      </c>
    </row>
    <row r="10" spans="2:8" x14ac:dyDescent="0.2">
      <c r="B10"/>
      <c r="C10" s="52">
        <v>2021</v>
      </c>
      <c r="D10" s="52">
        <v>2022</v>
      </c>
      <c r="E10" s="52">
        <v>2023</v>
      </c>
      <c r="F10" s="52">
        <v>2024</v>
      </c>
      <c r="G10" s="52">
        <v>2025</v>
      </c>
      <c r="H10" s="52">
        <v>2026</v>
      </c>
    </row>
    <row r="11" spans="2:8" ht="13.5" thickBot="1" x14ac:dyDescent="0.25">
      <c r="B11" s="29" t="s">
        <v>20</v>
      </c>
      <c r="C11" s="30">
        <f>+C5</f>
        <v>44805</v>
      </c>
      <c r="D11" s="30">
        <f t="shared" ref="D11:H11" si="2">+D5</f>
        <v>45170</v>
      </c>
      <c r="E11" s="30">
        <f t="shared" si="2"/>
        <v>45536</v>
      </c>
      <c r="F11" s="30">
        <f t="shared" si="2"/>
        <v>45901</v>
      </c>
      <c r="G11" s="30">
        <f t="shared" si="2"/>
        <v>46266</v>
      </c>
      <c r="H11" s="30">
        <f t="shared" si="2"/>
        <v>46631</v>
      </c>
    </row>
    <row r="12" spans="2:8" ht="13.5" thickTop="1" x14ac:dyDescent="0.2">
      <c r="B12" s="11"/>
      <c r="C12" s="63"/>
      <c r="D12" s="63"/>
      <c r="E12" s="63"/>
      <c r="F12" s="63"/>
      <c r="G12" s="63"/>
      <c r="H12" s="63"/>
    </row>
    <row r="13" spans="2:8" x14ac:dyDescent="0.2">
      <c r="B13" s="11"/>
      <c r="C13" s="63"/>
      <c r="D13" s="63"/>
      <c r="E13" s="63"/>
      <c r="F13" s="63"/>
      <c r="G13" s="63"/>
      <c r="H13" s="63"/>
    </row>
    <row r="14" spans="2:8" x14ac:dyDescent="0.2">
      <c r="B14" s="9"/>
      <c r="C14" s="63"/>
      <c r="D14" s="63"/>
      <c r="E14" s="63"/>
      <c r="F14" s="63"/>
      <c r="G14" s="63"/>
      <c r="H14" s="63"/>
    </row>
    <row r="15" spans="2:8" x14ac:dyDescent="0.2">
      <c r="B15" s="11"/>
      <c r="C15" s="63"/>
      <c r="D15" s="63"/>
      <c r="E15" s="63"/>
      <c r="F15" s="63"/>
      <c r="G15" s="63"/>
      <c r="H15" s="63"/>
    </row>
    <row r="16" spans="2:8" x14ac:dyDescent="0.2">
      <c r="B16" s="11"/>
      <c r="C16" s="63"/>
      <c r="D16" s="63"/>
      <c r="E16" s="63"/>
      <c r="F16" s="63"/>
      <c r="G16" s="63"/>
      <c r="H16" s="63"/>
    </row>
    <row r="17" spans="2:8" x14ac:dyDescent="0.2">
      <c r="B17" s="28" t="s">
        <v>21</v>
      </c>
      <c r="C17" s="71">
        <f>SUM(C12:C16)</f>
        <v>0</v>
      </c>
      <c r="D17" s="71">
        <f t="shared" ref="D17:H17" si="3">SUM(D12:D16)</f>
        <v>0</v>
      </c>
      <c r="E17" s="71">
        <f t="shared" si="3"/>
        <v>0</v>
      </c>
      <c r="F17" s="71">
        <f t="shared" si="3"/>
        <v>0</v>
      </c>
      <c r="G17" s="71">
        <f t="shared" si="3"/>
        <v>0</v>
      </c>
      <c r="H17" s="71">
        <f t="shared" si="3"/>
        <v>0</v>
      </c>
    </row>
    <row r="18" spans="2:8" x14ac:dyDescent="0.2">
      <c r="B18"/>
      <c r="C18"/>
      <c r="D18"/>
      <c r="E18"/>
      <c r="F18"/>
      <c r="G18"/>
      <c r="H18"/>
    </row>
    <row r="19" spans="2:8" ht="13.5" thickBot="1" x14ac:dyDescent="0.25">
      <c r="B19" s="29" t="s">
        <v>22</v>
      </c>
      <c r="C19" s="30">
        <f>+C5</f>
        <v>44805</v>
      </c>
      <c r="D19" s="30">
        <f t="shared" ref="D19:H19" si="4">+D5</f>
        <v>45170</v>
      </c>
      <c r="E19" s="30">
        <f t="shared" si="4"/>
        <v>45536</v>
      </c>
      <c r="F19" s="30">
        <f t="shared" si="4"/>
        <v>45901</v>
      </c>
      <c r="G19" s="30">
        <f t="shared" si="4"/>
        <v>46266</v>
      </c>
      <c r="H19" s="30">
        <f t="shared" si="4"/>
        <v>46631</v>
      </c>
    </row>
    <row r="20" spans="2:8" ht="13.5" thickTop="1" x14ac:dyDescent="0.2">
      <c r="B20" s="11"/>
      <c r="C20" s="63"/>
      <c r="D20" s="63"/>
      <c r="E20" s="63"/>
      <c r="F20" s="63"/>
      <c r="G20" s="63"/>
      <c r="H20" s="63"/>
    </row>
    <row r="21" spans="2:8" x14ac:dyDescent="0.2">
      <c r="B21" s="11"/>
      <c r="C21" s="63"/>
      <c r="D21" s="63"/>
      <c r="E21" s="63"/>
      <c r="F21" s="63"/>
      <c r="G21" s="63"/>
      <c r="H21" s="63"/>
    </row>
    <row r="22" spans="2:8" x14ac:dyDescent="0.2">
      <c r="B22" s="11"/>
      <c r="C22" s="63"/>
      <c r="D22" s="63"/>
      <c r="E22" s="63"/>
      <c r="F22" s="63"/>
      <c r="G22" s="63"/>
      <c r="H22" s="63"/>
    </row>
    <row r="23" spans="2:8" x14ac:dyDescent="0.2">
      <c r="B23" s="28" t="s">
        <v>23</v>
      </c>
      <c r="C23" s="71">
        <f t="shared" ref="C23:H23" si="5">SUM(C20:C22)</f>
        <v>0</v>
      </c>
      <c r="D23" s="71">
        <f t="shared" si="5"/>
        <v>0</v>
      </c>
      <c r="E23" s="71">
        <f t="shared" si="5"/>
        <v>0</v>
      </c>
      <c r="F23" s="71">
        <f t="shared" si="5"/>
        <v>0</v>
      </c>
      <c r="G23" s="71">
        <f t="shared" si="5"/>
        <v>0</v>
      </c>
      <c r="H23" s="71">
        <f t="shared" si="5"/>
        <v>0</v>
      </c>
    </row>
    <row r="24" spans="2:8" x14ac:dyDescent="0.2">
      <c r="B24"/>
      <c r="C24"/>
      <c r="D24"/>
      <c r="E24"/>
      <c r="F24"/>
      <c r="G24"/>
      <c r="H24"/>
    </row>
    <row r="25" spans="2:8" ht="13.5" thickBot="1" x14ac:dyDescent="0.25">
      <c r="B25" s="29" t="s">
        <v>24</v>
      </c>
      <c r="C25" s="30">
        <f>+C5</f>
        <v>44805</v>
      </c>
      <c r="D25" s="30">
        <f t="shared" ref="D25:H25" si="6">+D5</f>
        <v>45170</v>
      </c>
      <c r="E25" s="30">
        <f t="shared" si="6"/>
        <v>45536</v>
      </c>
      <c r="F25" s="30">
        <f t="shared" si="6"/>
        <v>45901</v>
      </c>
      <c r="G25" s="30">
        <f t="shared" si="6"/>
        <v>46266</v>
      </c>
      <c r="H25" s="30">
        <f t="shared" si="6"/>
        <v>46631</v>
      </c>
    </row>
    <row r="26" spans="2:8" ht="13.5" thickTop="1" x14ac:dyDescent="0.2">
      <c r="B26" s="9"/>
      <c r="C26" s="63"/>
      <c r="D26" s="63"/>
      <c r="E26" s="63"/>
      <c r="F26" s="63"/>
      <c r="G26" s="63"/>
      <c r="H26" s="63"/>
    </row>
    <row r="27" spans="2:8" x14ac:dyDescent="0.2">
      <c r="B27" s="11"/>
      <c r="C27" s="63"/>
      <c r="D27" s="63"/>
      <c r="E27" s="63"/>
      <c r="F27" s="63"/>
      <c r="G27" s="63"/>
      <c r="H27" s="63"/>
    </row>
    <row r="28" spans="2:8" x14ac:dyDescent="0.2">
      <c r="B28" s="11"/>
      <c r="C28" s="63"/>
      <c r="D28" s="63"/>
      <c r="E28" s="63"/>
      <c r="F28" s="63"/>
      <c r="G28" s="63"/>
      <c r="H28" s="63"/>
    </row>
    <row r="29" spans="2:8" x14ac:dyDescent="0.2">
      <c r="B29" s="24" t="s">
        <v>25</v>
      </c>
      <c r="C29" s="71">
        <f t="shared" ref="C29:H29" si="7">SUM(C26:C28)</f>
        <v>0</v>
      </c>
      <c r="D29" s="71">
        <f t="shared" si="7"/>
        <v>0</v>
      </c>
      <c r="E29" s="71">
        <f t="shared" si="7"/>
        <v>0</v>
      </c>
      <c r="F29" s="71">
        <f t="shared" si="7"/>
        <v>0</v>
      </c>
      <c r="G29" s="71">
        <f t="shared" si="7"/>
        <v>0</v>
      </c>
      <c r="H29" s="71">
        <f t="shared" si="7"/>
        <v>0</v>
      </c>
    </row>
    <row r="30" spans="2:8" ht="18.75" customHeight="1" x14ac:dyDescent="0.2">
      <c r="B30"/>
      <c r="C30"/>
      <c r="D30"/>
      <c r="E30"/>
      <c r="F30"/>
      <c r="G30"/>
      <c r="H30"/>
    </row>
    <row r="31" spans="2:8" ht="13.5" thickBot="1" x14ac:dyDescent="0.25">
      <c r="B31" s="29" t="s">
        <v>26</v>
      </c>
      <c r="C31" s="30">
        <f t="shared" ref="C31:H31" si="8">+C5</f>
        <v>44805</v>
      </c>
      <c r="D31" s="30">
        <f t="shared" si="8"/>
        <v>45170</v>
      </c>
      <c r="E31" s="30">
        <f t="shared" si="8"/>
        <v>45536</v>
      </c>
      <c r="F31" s="30">
        <f t="shared" si="8"/>
        <v>45901</v>
      </c>
      <c r="G31" s="30">
        <f t="shared" si="8"/>
        <v>46266</v>
      </c>
      <c r="H31" s="30">
        <f t="shared" si="8"/>
        <v>46631</v>
      </c>
    </row>
    <row r="32" spans="2:8" ht="13.5" thickTop="1" x14ac:dyDescent="0.2">
      <c r="B32" s="9"/>
      <c r="C32" s="63"/>
      <c r="D32" s="63"/>
      <c r="E32" s="63"/>
      <c r="F32" s="63"/>
      <c r="G32" s="63"/>
      <c r="H32" s="63"/>
    </row>
    <row r="33" spans="2:8" x14ac:dyDescent="0.2">
      <c r="B33" s="11"/>
      <c r="C33" s="63"/>
      <c r="D33" s="63"/>
      <c r="E33" s="63"/>
      <c r="F33" s="63"/>
      <c r="G33" s="63"/>
      <c r="H33" s="63"/>
    </row>
    <row r="34" spans="2:8" x14ac:dyDescent="0.2">
      <c r="B34" s="11"/>
      <c r="C34" s="63"/>
      <c r="D34" s="63"/>
      <c r="E34" s="63"/>
      <c r="F34" s="63"/>
      <c r="G34" s="63"/>
      <c r="H34" s="63"/>
    </row>
    <row r="35" spans="2:8" x14ac:dyDescent="0.2">
      <c r="B35" s="24" t="s">
        <v>27</v>
      </c>
      <c r="C35" s="71">
        <f t="shared" ref="C35:H35" si="9">SUM(C32:C34)</f>
        <v>0</v>
      </c>
      <c r="D35" s="71">
        <f t="shared" si="9"/>
        <v>0</v>
      </c>
      <c r="E35" s="71">
        <f t="shared" si="9"/>
        <v>0</v>
      </c>
      <c r="F35" s="71">
        <f t="shared" si="9"/>
        <v>0</v>
      </c>
      <c r="G35" s="71">
        <f t="shared" si="9"/>
        <v>0</v>
      </c>
      <c r="H35" s="71">
        <f t="shared" si="9"/>
        <v>0</v>
      </c>
    </row>
    <row r="36" spans="2:8" x14ac:dyDescent="0.2">
      <c r="B36" s="3"/>
      <c r="C36" s="4"/>
      <c r="D36" s="4"/>
      <c r="E36" s="4"/>
      <c r="F36" s="4"/>
      <c r="G36" s="4"/>
      <c r="H36" s="4"/>
    </row>
    <row r="37" spans="2:8" ht="18" thickBot="1" x14ac:dyDescent="0.35">
      <c r="B37" s="100" t="s">
        <v>28</v>
      </c>
      <c r="C37" s="64">
        <f>C35+C29+C23+C17+C9</f>
        <v>0</v>
      </c>
      <c r="D37" s="64">
        <f t="shared" ref="D37:H37" si="10">D35+D29+D23+D17+D9</f>
        <v>0</v>
      </c>
      <c r="E37" s="64">
        <f t="shared" si="10"/>
        <v>0</v>
      </c>
      <c r="F37" s="64">
        <f t="shared" si="10"/>
        <v>0</v>
      </c>
      <c r="G37" s="64">
        <f t="shared" si="10"/>
        <v>0</v>
      </c>
      <c r="H37" s="64">
        <f t="shared" si="10"/>
        <v>0</v>
      </c>
    </row>
    <row r="38" spans="2:8" ht="18.75" thickTop="1" thickBot="1" x14ac:dyDescent="0.35">
      <c r="B38" s="5"/>
      <c r="C38" s="6"/>
      <c r="D38" s="6"/>
      <c r="E38" s="6"/>
      <c r="F38" s="6"/>
      <c r="G38" s="6"/>
      <c r="H38" s="6"/>
    </row>
    <row r="39" spans="2:8" ht="15.75" thickTop="1" x14ac:dyDescent="0.25">
      <c r="B39" s="27" t="s">
        <v>29</v>
      </c>
      <c r="C39" s="4"/>
      <c r="D39" s="4"/>
      <c r="E39" s="4"/>
      <c r="F39" s="4"/>
      <c r="G39" s="4"/>
      <c r="H39" s="4"/>
    </row>
    <row r="40" spans="2:8" ht="13.5" thickBot="1" x14ac:dyDescent="0.25">
      <c r="B40" s="32" t="s">
        <v>109</v>
      </c>
      <c r="C40" s="31">
        <f t="shared" ref="C40:H40" si="11">+C5</f>
        <v>44805</v>
      </c>
      <c r="D40" s="31">
        <f t="shared" si="11"/>
        <v>45170</v>
      </c>
      <c r="E40" s="31">
        <f t="shared" si="11"/>
        <v>45536</v>
      </c>
      <c r="F40" s="31">
        <f t="shared" si="11"/>
        <v>45901</v>
      </c>
      <c r="G40" s="31">
        <f t="shared" si="11"/>
        <v>46266</v>
      </c>
      <c r="H40" s="31">
        <f t="shared" si="11"/>
        <v>46631</v>
      </c>
    </row>
    <row r="41" spans="2:8" ht="13.5" thickTop="1" x14ac:dyDescent="0.2">
      <c r="B41" s="10"/>
      <c r="C41" s="65"/>
      <c r="D41" s="65"/>
      <c r="E41" s="65"/>
      <c r="F41" s="65"/>
      <c r="G41" s="65"/>
      <c r="H41" s="65"/>
    </row>
    <row r="42" spans="2:8" x14ac:dyDescent="0.2">
      <c r="B42" s="10"/>
      <c r="C42" s="65"/>
      <c r="D42" s="65"/>
      <c r="E42" s="65"/>
      <c r="F42" s="65"/>
      <c r="G42" s="65"/>
      <c r="H42" s="65"/>
    </row>
    <row r="43" spans="2:8" x14ac:dyDescent="0.2">
      <c r="B43" s="10"/>
      <c r="C43" s="65"/>
      <c r="D43" s="65"/>
      <c r="E43" s="65"/>
      <c r="F43" s="65"/>
      <c r="G43" s="65"/>
      <c r="H43" s="65"/>
    </row>
    <row r="44" spans="2:8" x14ac:dyDescent="0.2">
      <c r="B44" s="10"/>
      <c r="C44" s="65"/>
      <c r="D44" s="65"/>
      <c r="E44" s="65"/>
      <c r="F44" s="65"/>
      <c r="G44" s="65"/>
      <c r="H44" s="65"/>
    </row>
    <row r="45" spans="2:8" ht="13.5" thickBot="1" x14ac:dyDescent="0.25">
      <c r="B45" s="10" t="s">
        <v>118</v>
      </c>
      <c r="C45" s="65"/>
      <c r="D45" s="65"/>
      <c r="E45" s="65"/>
      <c r="F45" s="65"/>
      <c r="G45" s="65"/>
      <c r="H45" s="65"/>
    </row>
    <row r="46" spans="2:8" ht="13.5" thickTop="1" x14ac:dyDescent="0.2">
      <c r="B46" s="25" t="s">
        <v>111</v>
      </c>
      <c r="C46" s="93">
        <f>SUM(C41:C45)</f>
        <v>0</v>
      </c>
      <c r="D46" s="93">
        <f t="shared" ref="D46:H46" si="12">SUM(D41:D45)</f>
        <v>0</v>
      </c>
      <c r="E46" s="93">
        <f t="shared" si="12"/>
        <v>0</v>
      </c>
      <c r="F46" s="93">
        <f t="shared" si="12"/>
        <v>0</v>
      </c>
      <c r="G46" s="93">
        <f t="shared" si="12"/>
        <v>0</v>
      </c>
      <c r="H46" s="94">
        <f t="shared" si="12"/>
        <v>0</v>
      </c>
    </row>
    <row r="47" spans="2:8" s="52" customFormat="1" x14ac:dyDescent="0.2">
      <c r="C47" s="97">
        <f>C46*-1</f>
        <v>0</v>
      </c>
      <c r="D47" s="97">
        <f t="shared" ref="D47:H47" si="13">D46*-1</f>
        <v>0</v>
      </c>
      <c r="E47" s="97">
        <f t="shared" si="13"/>
        <v>0</v>
      </c>
      <c r="F47" s="97">
        <f t="shared" si="13"/>
        <v>0</v>
      </c>
      <c r="G47" s="97">
        <f t="shared" si="13"/>
        <v>0</v>
      </c>
      <c r="H47" s="97">
        <f t="shared" si="13"/>
        <v>0</v>
      </c>
    </row>
    <row r="48" spans="2:8" ht="13.5" thickBot="1" x14ac:dyDescent="0.25">
      <c r="B48" s="32" t="s">
        <v>110</v>
      </c>
      <c r="C48" s="31">
        <f t="shared" ref="C48:H48" si="14">+C5</f>
        <v>44805</v>
      </c>
      <c r="D48" s="31">
        <f t="shared" si="14"/>
        <v>45170</v>
      </c>
      <c r="E48" s="31">
        <f t="shared" si="14"/>
        <v>45536</v>
      </c>
      <c r="F48" s="31">
        <f t="shared" si="14"/>
        <v>45901</v>
      </c>
      <c r="G48" s="31">
        <f t="shared" si="14"/>
        <v>46266</v>
      </c>
      <c r="H48" s="31">
        <f t="shared" si="14"/>
        <v>46631</v>
      </c>
    </row>
    <row r="49" spans="2:8" ht="13.5" thickTop="1" x14ac:dyDescent="0.2">
      <c r="B49" s="10"/>
      <c r="C49" s="65"/>
      <c r="D49" s="65"/>
      <c r="E49" s="65"/>
      <c r="F49" s="65"/>
      <c r="G49" s="65"/>
      <c r="H49" s="65"/>
    </row>
    <row r="50" spans="2:8" x14ac:dyDescent="0.2">
      <c r="B50" s="10"/>
      <c r="C50" s="65"/>
      <c r="D50" s="65"/>
      <c r="E50" s="65"/>
      <c r="F50" s="65"/>
      <c r="G50" s="65"/>
      <c r="H50" s="65"/>
    </row>
    <row r="51" spans="2:8" x14ac:dyDescent="0.2">
      <c r="B51" s="10"/>
      <c r="C51" s="65"/>
      <c r="D51" s="65"/>
      <c r="E51" s="65"/>
      <c r="F51" s="65"/>
      <c r="G51" s="65"/>
      <c r="H51" s="65"/>
    </row>
    <row r="52" spans="2:8" x14ac:dyDescent="0.2">
      <c r="B52" s="25" t="s">
        <v>32</v>
      </c>
      <c r="C52" s="93">
        <f t="shared" ref="C52:F52" si="15">SUM(C49:C51)</f>
        <v>0</v>
      </c>
      <c r="D52" s="93">
        <f t="shared" si="15"/>
        <v>0</v>
      </c>
      <c r="E52" s="93">
        <f t="shared" si="15"/>
        <v>0</v>
      </c>
      <c r="F52" s="93">
        <f t="shared" si="15"/>
        <v>0</v>
      </c>
      <c r="G52" s="93">
        <f>SUM(G49:G51)</f>
        <v>0</v>
      </c>
      <c r="H52" s="93">
        <f t="shared" ref="H52" si="16">SUM(H49:H51)</f>
        <v>0</v>
      </c>
    </row>
    <row r="53" spans="2:8" s="52" customFormat="1" x14ac:dyDescent="0.2">
      <c r="B53" s="98"/>
      <c r="C53" s="99">
        <f>C52*-1</f>
        <v>0</v>
      </c>
      <c r="D53" s="99">
        <f t="shared" ref="D53:H53" si="17">D52*-1</f>
        <v>0</v>
      </c>
      <c r="E53" s="99">
        <f t="shared" si="17"/>
        <v>0</v>
      </c>
      <c r="F53" s="99">
        <f t="shared" si="17"/>
        <v>0</v>
      </c>
      <c r="G53" s="99">
        <f t="shared" si="17"/>
        <v>0</v>
      </c>
      <c r="H53" s="99">
        <f t="shared" si="17"/>
        <v>0</v>
      </c>
    </row>
    <row r="54" spans="2:8" ht="18" thickBot="1" x14ac:dyDescent="0.35">
      <c r="B54" s="26" t="s">
        <v>33</v>
      </c>
      <c r="C54" s="66">
        <f t="shared" ref="C54:H54" si="18">C46+C52</f>
        <v>0</v>
      </c>
      <c r="D54" s="66">
        <f t="shared" si="18"/>
        <v>0</v>
      </c>
      <c r="E54" s="66">
        <f t="shared" si="18"/>
        <v>0</v>
      </c>
      <c r="F54" s="66">
        <f t="shared" si="18"/>
        <v>0</v>
      </c>
      <c r="G54" s="66">
        <f t="shared" si="18"/>
        <v>0</v>
      </c>
      <c r="H54" s="66">
        <f t="shared" si="18"/>
        <v>0</v>
      </c>
    </row>
    <row r="55" spans="2:8" ht="18" hidden="1" thickTop="1" x14ac:dyDescent="0.3">
      <c r="B55" s="96"/>
      <c r="C55" s="68">
        <f>-C54</f>
        <v>0</v>
      </c>
      <c r="D55" s="68">
        <f t="shared" ref="D55:H55" si="19">-D54</f>
        <v>0</v>
      </c>
      <c r="E55" s="68">
        <f t="shared" si="19"/>
        <v>0</v>
      </c>
      <c r="F55" s="68">
        <f t="shared" si="19"/>
        <v>0</v>
      </c>
      <c r="G55" s="68">
        <f t="shared" si="19"/>
        <v>0</v>
      </c>
      <c r="H55" s="68">
        <f t="shared" si="19"/>
        <v>0</v>
      </c>
    </row>
    <row r="56" spans="2:8" ht="13.5" thickTop="1" x14ac:dyDescent="0.2">
      <c r="C56" s="67"/>
      <c r="D56" s="67"/>
      <c r="E56" s="67"/>
      <c r="F56" s="67"/>
      <c r="G56" s="67"/>
      <c r="H56" s="67"/>
    </row>
    <row r="57" spans="2:8" x14ac:dyDescent="0.2">
      <c r="C57" s="67"/>
      <c r="D57" s="67"/>
      <c r="E57" s="67"/>
      <c r="F57" s="67"/>
      <c r="G57" s="67"/>
      <c r="H57" s="67"/>
    </row>
    <row r="58" spans="2:8" ht="17.25" x14ac:dyDescent="0.3">
      <c r="B58" s="12" t="s">
        <v>34</v>
      </c>
      <c r="C58" s="68">
        <f t="shared" ref="C58:H58" si="20">+C37-C54</f>
        <v>0</v>
      </c>
      <c r="D58" s="68">
        <f t="shared" si="20"/>
        <v>0</v>
      </c>
      <c r="E58" s="68">
        <f t="shared" si="20"/>
        <v>0</v>
      </c>
      <c r="F58" s="68">
        <f t="shared" si="20"/>
        <v>0</v>
      </c>
      <c r="G58" s="68">
        <f t="shared" si="20"/>
        <v>0</v>
      </c>
      <c r="H58" s="68">
        <f t="shared" si="20"/>
        <v>0</v>
      </c>
    </row>
    <row r="59" spans="2:8" x14ac:dyDescent="0.2">
      <c r="B59" s="95" t="s">
        <v>35</v>
      </c>
      <c r="D59" s="67">
        <f>D58-C58</f>
        <v>0</v>
      </c>
      <c r="E59" s="67">
        <f t="shared" ref="E59:H59" si="21">E58-D58</f>
        <v>0</v>
      </c>
      <c r="F59" s="67">
        <f t="shared" si="21"/>
        <v>0</v>
      </c>
      <c r="G59" s="67">
        <f t="shared" si="21"/>
        <v>0</v>
      </c>
      <c r="H59" s="67">
        <f t="shared" si="21"/>
        <v>0</v>
      </c>
    </row>
    <row r="60" spans="2:8" x14ac:dyDescent="0.2">
      <c r="B60" s="95" t="s">
        <v>36</v>
      </c>
      <c r="C60" s="101"/>
      <c r="D60" s="102" t="e">
        <f>D59/C58</f>
        <v>#DIV/0!</v>
      </c>
      <c r="E60" s="102" t="e">
        <f t="shared" ref="E60:H60" si="22">E59/D58</f>
        <v>#DIV/0!</v>
      </c>
      <c r="F60" s="102" t="e">
        <f t="shared" si="22"/>
        <v>#DIV/0!</v>
      </c>
      <c r="G60" s="102" t="e">
        <f t="shared" si="22"/>
        <v>#DIV/0!</v>
      </c>
      <c r="H60" s="102" t="e">
        <f t="shared" si="22"/>
        <v>#DIV/0!</v>
      </c>
    </row>
    <row r="62" spans="2:8" ht="13.5" thickBot="1" x14ac:dyDescent="0.25">
      <c r="B62" s="33" t="s">
        <v>37</v>
      </c>
      <c r="C62" s="34">
        <f t="shared" ref="C62:H62" si="23">+C5</f>
        <v>44805</v>
      </c>
      <c r="D62" s="34">
        <f t="shared" si="23"/>
        <v>45170</v>
      </c>
      <c r="E62" s="34">
        <f t="shared" si="23"/>
        <v>45536</v>
      </c>
      <c r="F62" s="34">
        <f t="shared" si="23"/>
        <v>45901</v>
      </c>
      <c r="G62" s="34">
        <f t="shared" si="23"/>
        <v>46266</v>
      </c>
      <c r="H62" s="34">
        <f t="shared" si="23"/>
        <v>46631</v>
      </c>
    </row>
    <row r="63" spans="2:8" ht="70.900000000000006" customHeight="1" thickTop="1" x14ac:dyDescent="0.2">
      <c r="B63" s="35"/>
      <c r="C63" s="73"/>
      <c r="D63" s="73"/>
      <c r="E63" s="36"/>
      <c r="F63" s="73"/>
      <c r="G63" s="36"/>
      <c r="H63" s="36"/>
    </row>
    <row r="64" spans="2:8" ht="35.25" customHeight="1" x14ac:dyDescent="0.2">
      <c r="B64" s="35"/>
      <c r="C64" s="36"/>
      <c r="D64" s="36"/>
      <c r="E64" s="36"/>
      <c r="F64" s="36"/>
      <c r="G64" s="36"/>
      <c r="H64" s="36"/>
    </row>
    <row r="65" spans="2:8" ht="35.25" customHeight="1" x14ac:dyDescent="0.2">
      <c r="B65" s="35"/>
      <c r="C65" s="36"/>
      <c r="D65" s="36"/>
      <c r="E65" s="36"/>
      <c r="F65" s="36"/>
      <c r="G65" s="36"/>
      <c r="H65" s="36"/>
    </row>
  </sheetData>
  <mergeCells count="1">
    <mergeCell ref="B2:C2"/>
  </mergeCells>
  <conditionalFormatting sqref="C58">
    <cfRule type="cellIs" dxfId="199" priority="6" operator="lessThan">
      <formula>0</formula>
    </cfRule>
  </conditionalFormatting>
  <conditionalFormatting sqref="D58">
    <cfRule type="cellIs" dxfId="198" priority="5" operator="lessThan">
      <formula>0</formula>
    </cfRule>
  </conditionalFormatting>
  <conditionalFormatting sqref="E58">
    <cfRule type="cellIs" dxfId="197" priority="4" operator="lessThan">
      <formula>0</formula>
    </cfRule>
  </conditionalFormatting>
  <conditionalFormatting sqref="F58">
    <cfRule type="cellIs" dxfId="196" priority="3" operator="lessThan">
      <formula>0</formula>
    </cfRule>
  </conditionalFormatting>
  <conditionalFormatting sqref="G58">
    <cfRule type="cellIs" dxfId="195" priority="2" operator="lessThan">
      <formula>0</formula>
    </cfRule>
  </conditionalFormatting>
  <conditionalFormatting sqref="H58">
    <cfRule type="cellIs" dxfId="194" priority="1" operator="lessThan">
      <formula>0</formula>
    </cfRule>
  </conditionalFormatting>
  <printOptions horizontalCentered="1" verticalCentered="1"/>
  <pageMargins left="0.5" right="0.5" top="0.5" bottom="0.5" header="0.5" footer="0.5"/>
  <pageSetup scale="72" orientation="portrait" horizontalDpi="4294967294" r:id="rId1"/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EA621-B366-4582-85DA-E64126C7C809}">
  <dimension ref="A1:S40"/>
  <sheetViews>
    <sheetView workbookViewId="0">
      <selection activeCell="A41" sqref="A41:XFD1048576"/>
    </sheetView>
  </sheetViews>
  <sheetFormatPr baseColWidth="10" defaultColWidth="0" defaultRowHeight="12.75" zeroHeight="1" x14ac:dyDescent="0.2"/>
  <cols>
    <col min="1" max="19" width="11.42578125" style="290" customWidth="1"/>
    <col min="20" max="16384" width="11.42578125" style="290" hidden="1"/>
  </cols>
  <sheetData>
    <row r="1" x14ac:dyDescent="0.2"/>
    <row r="2" x14ac:dyDescent="0.2"/>
    <row r="3" x14ac:dyDescent="0.2"/>
    <row r="4" x14ac:dyDescent="0.2"/>
    <row r="5" x14ac:dyDescent="0.2"/>
    <row r="6" x14ac:dyDescent="0.2"/>
    <row r="7" x14ac:dyDescent="0.2"/>
    <row r="8" x14ac:dyDescent="0.2"/>
    <row r="9" x14ac:dyDescent="0.2"/>
    <row r="10" x14ac:dyDescent="0.2"/>
    <row r="11" x14ac:dyDescent="0.2"/>
    <row r="12" x14ac:dyDescent="0.2"/>
    <row r="13" x14ac:dyDescent="0.2"/>
    <row r="14" x14ac:dyDescent="0.2"/>
    <row r="15" x14ac:dyDescent="0.2"/>
    <row r="16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</sheetData>
  <sheetProtection algorithmName="SHA-512" hashValue="FKg0aWBBTPCDRTjJq8QmnZ1e3oiSvbIZkzFs8yFsM6Zm9rXP2NajcMDqwlCrEg8ffdemg02loOCdjhLkS5vsEw==" saltValue="6Vx4R3dl6t072qufZSEpvw==" spinCount="100000" sheet="1" objects="1" scenarios="1" selectLockedCells="1" selectUnlockedCell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7E67A-6CFA-47C6-B5F5-DBF76CC5C2EC}">
  <dimension ref="A1:L85"/>
  <sheetViews>
    <sheetView zoomScale="130" zoomScaleNormal="130" zoomScaleSheetLayoutView="115" workbookViewId="0">
      <selection activeCell="D2" sqref="C1:D1048576"/>
    </sheetView>
  </sheetViews>
  <sheetFormatPr baseColWidth="10" defaultColWidth="11.42578125" defaultRowHeight="12.75" outlineLevelCol="1" x14ac:dyDescent="0.2"/>
  <cols>
    <col min="1" max="1" width="17.7109375" bestFit="1" customWidth="1"/>
    <col min="2" max="2" width="39.28515625" customWidth="1"/>
    <col min="3" max="4" width="20.85546875" hidden="1" customWidth="1" outlineLevel="1"/>
    <col min="5" max="5" width="37.85546875" customWidth="1" collapsed="1"/>
    <col min="6" max="7" width="13.7109375" customWidth="1"/>
    <col min="8" max="8" width="14.85546875" bestFit="1" customWidth="1"/>
    <col min="9" max="9" width="17" customWidth="1"/>
    <col min="10" max="10" width="16.28515625" style="13" bestFit="1" customWidth="1"/>
    <col min="11" max="11" width="17.42578125" bestFit="1" customWidth="1"/>
  </cols>
  <sheetData>
    <row r="1" spans="1:10" ht="16.5" thickBot="1" x14ac:dyDescent="0.25">
      <c r="A1" s="407" t="s">
        <v>220</v>
      </c>
      <c r="B1" s="408"/>
      <c r="C1" s="408"/>
      <c r="D1" s="408"/>
      <c r="E1" s="408"/>
      <c r="F1" s="408"/>
      <c r="G1" s="408"/>
      <c r="H1" s="408"/>
      <c r="I1" s="409"/>
      <c r="J1" s="113" t="s">
        <v>40</v>
      </c>
    </row>
    <row r="2" spans="1:10" ht="15.75" x14ac:dyDescent="0.2">
      <c r="A2" s="38" t="s">
        <v>41</v>
      </c>
      <c r="B2" s="41" t="s">
        <v>217</v>
      </c>
      <c r="C2" s="41" t="s">
        <v>221</v>
      </c>
      <c r="D2" s="41" t="s">
        <v>222</v>
      </c>
      <c r="E2" s="41" t="s">
        <v>43</v>
      </c>
      <c r="F2" s="42" t="s">
        <v>44</v>
      </c>
      <c r="G2" s="42" t="s">
        <v>45</v>
      </c>
      <c r="H2" s="42" t="s">
        <v>46</v>
      </c>
      <c r="I2" s="103" t="s">
        <v>47</v>
      </c>
      <c r="J2" s="114"/>
    </row>
    <row r="3" spans="1:10" ht="15" x14ac:dyDescent="0.2">
      <c r="A3" s="130">
        <f>+Informations!B1</f>
        <v>0</v>
      </c>
      <c r="B3" s="131"/>
      <c r="C3" s="131"/>
      <c r="D3" s="131"/>
      <c r="E3" s="132"/>
      <c r="F3" s="126"/>
      <c r="G3" s="126"/>
      <c r="H3" s="126"/>
      <c r="I3" s="127"/>
      <c r="J3" s="53"/>
    </row>
    <row r="4" spans="1:10" ht="15" x14ac:dyDescent="0.2">
      <c r="A4" s="133"/>
      <c r="B4" s="131"/>
      <c r="C4" s="131"/>
      <c r="D4" s="131"/>
      <c r="E4" s="132"/>
      <c r="F4" s="126"/>
      <c r="G4" s="126"/>
      <c r="H4" s="126"/>
      <c r="I4" s="127"/>
      <c r="J4" s="53"/>
    </row>
    <row r="5" spans="1:10" ht="15" x14ac:dyDescent="0.2">
      <c r="A5" s="133"/>
      <c r="B5" s="131"/>
      <c r="C5" s="131"/>
      <c r="D5" s="131"/>
      <c r="E5" s="72"/>
      <c r="F5" s="126"/>
      <c r="G5" s="126"/>
      <c r="H5" s="126"/>
      <c r="I5" s="127"/>
      <c r="J5" s="53"/>
    </row>
    <row r="6" spans="1:10" ht="15" x14ac:dyDescent="0.2">
      <c r="A6" s="133"/>
      <c r="B6" s="131"/>
      <c r="C6" s="131"/>
      <c r="D6" s="131"/>
      <c r="E6" s="132"/>
      <c r="F6" s="126"/>
      <c r="G6" s="126"/>
      <c r="H6" s="126"/>
      <c r="I6" s="127"/>
      <c r="J6" s="53"/>
    </row>
    <row r="7" spans="1:10" ht="15" x14ac:dyDescent="0.2">
      <c r="A7" s="133"/>
      <c r="B7" s="131"/>
      <c r="C7" s="131"/>
      <c r="D7" s="131"/>
      <c r="E7" s="132"/>
      <c r="F7" s="126"/>
      <c r="G7" s="126"/>
      <c r="H7" s="126"/>
      <c r="I7" s="127"/>
      <c r="J7" s="323"/>
    </row>
    <row r="8" spans="1:10" ht="15" x14ac:dyDescent="0.25">
      <c r="A8" s="133"/>
      <c r="B8" s="131"/>
      <c r="C8" s="131"/>
      <c r="D8" s="131"/>
      <c r="E8" s="134"/>
      <c r="F8" s="126"/>
      <c r="G8" s="126"/>
      <c r="H8" s="126"/>
      <c r="I8" s="127"/>
      <c r="J8" s="53"/>
    </row>
    <row r="9" spans="1:10" ht="15" x14ac:dyDescent="0.25">
      <c r="A9" s="133"/>
      <c r="B9" s="131"/>
      <c r="C9" s="131"/>
      <c r="D9" s="131"/>
      <c r="E9" s="134"/>
      <c r="F9" s="126"/>
      <c r="G9" s="126"/>
      <c r="H9" s="126"/>
      <c r="I9" s="127"/>
      <c r="J9" s="53"/>
    </row>
    <row r="10" spans="1:10" ht="15" x14ac:dyDescent="0.25">
      <c r="A10" s="133"/>
      <c r="B10" s="131"/>
      <c r="C10" s="131"/>
      <c r="D10" s="131"/>
      <c r="E10" s="134"/>
      <c r="F10" s="126"/>
      <c r="G10" s="126"/>
      <c r="H10" s="126"/>
      <c r="I10" s="127"/>
      <c r="J10" s="53"/>
    </row>
    <row r="11" spans="1:10" ht="15" x14ac:dyDescent="0.25">
      <c r="A11" s="133"/>
      <c r="B11" s="131"/>
      <c r="C11" s="131"/>
      <c r="D11" s="131"/>
      <c r="E11" s="134"/>
      <c r="F11" s="126"/>
      <c r="G11" s="126"/>
      <c r="H11" s="126"/>
      <c r="I11" s="127"/>
      <c r="J11" s="53"/>
    </row>
    <row r="12" spans="1:10" ht="15" x14ac:dyDescent="0.2">
      <c r="A12" s="130">
        <f>Informations!B2</f>
        <v>0</v>
      </c>
      <c r="B12" s="131"/>
      <c r="C12" s="131"/>
      <c r="D12" s="131"/>
      <c r="E12" s="132"/>
      <c r="F12" s="126"/>
      <c r="G12" s="126"/>
      <c r="H12" s="126"/>
      <c r="I12" s="127"/>
      <c r="J12" s="53"/>
    </row>
    <row r="13" spans="1:10" ht="15" x14ac:dyDescent="0.2">
      <c r="A13" s="130"/>
      <c r="B13" s="131"/>
      <c r="C13" s="131"/>
      <c r="D13" s="131"/>
      <c r="E13" s="132"/>
      <c r="F13" s="126"/>
      <c r="G13" s="126"/>
      <c r="H13" s="126"/>
      <c r="I13" s="127"/>
      <c r="J13" s="53"/>
    </row>
    <row r="14" spans="1:10" ht="15" x14ac:dyDescent="0.2">
      <c r="A14" s="135"/>
      <c r="B14" s="131"/>
      <c r="C14" s="131"/>
      <c r="D14" s="131"/>
      <c r="E14" s="72"/>
      <c r="F14" s="126"/>
      <c r="G14" s="126"/>
      <c r="H14" s="126"/>
      <c r="I14" s="127"/>
      <c r="J14" s="115"/>
    </row>
    <row r="15" spans="1:10" ht="15" x14ac:dyDescent="0.2">
      <c r="A15" s="135"/>
      <c r="B15" s="131"/>
      <c r="C15" s="131"/>
      <c r="D15" s="131"/>
      <c r="E15" s="132"/>
      <c r="F15" s="126"/>
      <c r="G15" s="126"/>
      <c r="H15" s="126"/>
      <c r="I15" s="127"/>
      <c r="J15" s="115"/>
    </row>
    <row r="16" spans="1:10" ht="15" x14ac:dyDescent="0.2">
      <c r="A16" s="135"/>
      <c r="B16" s="131"/>
      <c r="C16" s="131"/>
      <c r="D16" s="131"/>
      <c r="E16" s="132"/>
      <c r="F16" s="126"/>
      <c r="G16" s="126"/>
      <c r="H16" s="126"/>
      <c r="I16" s="127"/>
      <c r="J16" s="115"/>
    </row>
    <row r="17" spans="1:10" ht="15" x14ac:dyDescent="0.2">
      <c r="A17" s="135"/>
      <c r="B17" s="131"/>
      <c r="C17" s="131"/>
      <c r="D17" s="131"/>
      <c r="E17" s="132"/>
      <c r="F17" s="128"/>
      <c r="G17" s="128"/>
      <c r="H17" s="128"/>
      <c r="I17" s="127"/>
      <c r="J17" s="115"/>
    </row>
    <row r="18" spans="1:10" ht="15" x14ac:dyDescent="0.2">
      <c r="A18" s="130">
        <f>+Informations!B5</f>
        <v>0</v>
      </c>
      <c r="B18" s="131"/>
      <c r="C18" s="131"/>
      <c r="D18" s="131"/>
      <c r="E18" s="132"/>
      <c r="F18" s="128"/>
      <c r="G18" s="128"/>
      <c r="H18" s="128"/>
      <c r="I18" s="127"/>
      <c r="J18" s="115"/>
    </row>
    <row r="19" spans="1:10" ht="15" x14ac:dyDescent="0.2">
      <c r="A19" s="135"/>
      <c r="B19" s="131"/>
      <c r="C19" s="131"/>
      <c r="D19" s="131"/>
      <c r="E19" s="132"/>
      <c r="F19" s="128"/>
      <c r="G19" s="128"/>
      <c r="H19" s="128"/>
      <c r="I19" s="127"/>
      <c r="J19" s="115"/>
    </row>
    <row r="20" spans="1:10" ht="15.75" thickBot="1" x14ac:dyDescent="0.25">
      <c r="A20" s="130">
        <f>+Informations!B6</f>
        <v>0</v>
      </c>
      <c r="B20" s="131"/>
      <c r="C20" s="131"/>
      <c r="D20" s="131"/>
      <c r="E20" s="132"/>
      <c r="F20" s="128"/>
      <c r="G20" s="128"/>
      <c r="H20" s="128"/>
      <c r="I20" s="127"/>
      <c r="J20" s="115"/>
    </row>
    <row r="21" spans="1:10" ht="15.75" thickBot="1" x14ac:dyDescent="0.25">
      <c r="A21" s="135"/>
      <c r="B21" s="131"/>
      <c r="C21" s="131"/>
      <c r="D21" s="131"/>
      <c r="E21" s="132"/>
      <c r="F21" s="128"/>
      <c r="G21" s="128"/>
      <c r="H21" s="128"/>
      <c r="I21" s="129"/>
      <c r="J21" s="171" t="s">
        <v>143</v>
      </c>
    </row>
    <row r="22" spans="1:10" ht="15.75" thickBot="1" x14ac:dyDescent="0.25">
      <c r="A22" s="74"/>
      <c r="B22" s="75"/>
      <c r="C22" s="75"/>
      <c r="D22" s="75"/>
      <c r="E22" s="76">
        <f>+A3</f>
        <v>0</v>
      </c>
      <c r="F22" s="77">
        <f>SUM(F3:F11)</f>
        <v>0</v>
      </c>
      <c r="G22" s="77">
        <f>SUM(G3:G11)</f>
        <v>0</v>
      </c>
      <c r="H22" s="77">
        <f t="shared" ref="H22" si="0">SUM(H3:H11)</f>
        <v>0</v>
      </c>
      <c r="I22" s="105">
        <f>SUM(I3:I11)</f>
        <v>0</v>
      </c>
      <c r="J22" s="169">
        <f>+I22*12/(IF(Status!H8&gt;0,Status!H8,IF(Status!G8&gt;0,Status!G8,IF(Status!F8&gt;0,Status!F8,IF(Status!E8&gt;0,Status!E8,IF(Status!D8&gt;0,Status!D8,IF(Status!C8&gt;0,Status!C8,0)))))))</f>
        <v>0</v>
      </c>
    </row>
    <row r="23" spans="1:10" ht="15.75" thickBot="1" x14ac:dyDescent="0.25">
      <c r="A23" s="74"/>
      <c r="B23" s="75"/>
      <c r="C23" s="75"/>
      <c r="D23" s="75"/>
      <c r="E23" s="76">
        <f>+A12</f>
        <v>0</v>
      </c>
      <c r="F23" s="77">
        <f>SUM(F12:F17)</f>
        <v>0</v>
      </c>
      <c r="G23" s="77">
        <f t="shared" ref="G23:H23" si="1">SUM(G12:G17)</f>
        <v>0</v>
      </c>
      <c r="H23" s="77">
        <f t="shared" si="1"/>
        <v>0</v>
      </c>
      <c r="I23" s="105">
        <f>SUM(I12:I17)</f>
        <v>0</v>
      </c>
      <c r="J23" s="169">
        <f>+I23*12/(IF(Status!H19&gt;0,Status!H19,IF(Status!G19&gt;0,Status!G19,IF(Status!F19&gt;0,Status!F19,IF(Status!E19&gt;0,Status!E19,IF(Status!D19&gt;0,Status!D19,IF(Status!C19&gt;0,Status!C19,0)))))))</f>
        <v>0</v>
      </c>
    </row>
    <row r="24" spans="1:10" ht="15.75" thickBot="1" x14ac:dyDescent="0.25">
      <c r="A24" s="74"/>
      <c r="B24" s="75"/>
      <c r="C24" s="75"/>
      <c r="D24" s="75"/>
      <c r="E24" s="76">
        <f>A18</f>
        <v>0</v>
      </c>
      <c r="F24" s="77">
        <f>SUM(F18:F18)</f>
        <v>0</v>
      </c>
      <c r="G24" s="77">
        <f t="shared" ref="G24" si="2">SUM(G18:G18)</f>
        <v>0</v>
      </c>
      <c r="H24" s="77">
        <f>SUM(H18:H18)</f>
        <v>0</v>
      </c>
      <c r="I24" s="105">
        <f>SUM(I18:I18)</f>
        <v>0</v>
      </c>
      <c r="J24" s="173"/>
    </row>
    <row r="25" spans="1:10" ht="15.75" thickBot="1" x14ac:dyDescent="0.25">
      <c r="A25" s="74"/>
      <c r="B25" s="75"/>
      <c r="C25" s="75"/>
      <c r="D25" s="75"/>
      <c r="E25" s="76">
        <f>+A20</f>
        <v>0</v>
      </c>
      <c r="F25" s="77">
        <f t="shared" ref="F25:G25" si="3">SUM(F20:F20)</f>
        <v>0</v>
      </c>
      <c r="G25" s="77">
        <f t="shared" si="3"/>
        <v>0</v>
      </c>
      <c r="H25" s="77">
        <f>SUM(H20:H20)</f>
        <v>0</v>
      </c>
      <c r="I25" s="105">
        <f>SUM(I20:I20)</f>
        <v>0</v>
      </c>
      <c r="J25" s="172"/>
    </row>
    <row r="26" spans="1:10" ht="16.5" thickBot="1" x14ac:dyDescent="0.25">
      <c r="A26" s="74"/>
      <c r="B26" s="78"/>
      <c r="C26" s="78"/>
      <c r="D26" s="78"/>
      <c r="E26" s="79"/>
      <c r="F26" s="80"/>
      <c r="G26" s="80"/>
      <c r="H26" s="40" t="s">
        <v>38</v>
      </c>
      <c r="I26" s="106">
        <f>SUM(I22:I25)</f>
        <v>0</v>
      </c>
      <c r="J26" s="170">
        <f>+I26*12/((IF(Status!H8&gt;0,Status!H8,IF(Status!G8&gt;0,Status!G8,IF(Status!F8&gt;0,Status!F8,IF(Status!E8&gt;0,Status!E8,IF(Status!D8&gt;0,Status!D8,IF(Status!C8&gt;0,Status!C8,0)))))))+(IF(Status!H19&gt;0,Status!H19,IF(Status!G19&gt;0,Status!G19,IF(Status!F19&gt;0,Status!F19,IF(Status!E19&gt;0,Status!E19,IF(Status!D19&gt;0,Status!D19,IF(Status!C19&gt;0,Status!C19,0))))))))</f>
        <v>0</v>
      </c>
    </row>
    <row r="27" spans="1:10" ht="15" x14ac:dyDescent="0.2">
      <c r="A27" s="44" t="s">
        <v>50</v>
      </c>
      <c r="B27" s="410" t="s">
        <v>218</v>
      </c>
      <c r="C27" s="410"/>
      <c r="D27" s="410"/>
      <c r="E27" s="410"/>
      <c r="F27" s="410"/>
      <c r="G27" s="410"/>
      <c r="H27" s="410"/>
      <c r="I27" s="411"/>
      <c r="J27" s="116"/>
    </row>
    <row r="28" spans="1:10" ht="15" x14ac:dyDescent="0.2">
      <c r="A28" s="45"/>
      <c r="B28" s="412"/>
      <c r="C28" s="412"/>
      <c r="D28" s="412"/>
      <c r="E28" s="412"/>
      <c r="F28" s="412"/>
      <c r="G28" s="412"/>
      <c r="H28" s="412"/>
      <c r="I28" s="413"/>
      <c r="J28" s="116"/>
    </row>
    <row r="29" spans="1:10" ht="15.75" thickBot="1" x14ac:dyDescent="0.25">
      <c r="A29" s="74"/>
      <c r="B29" s="43"/>
      <c r="C29" s="43"/>
      <c r="D29" s="43"/>
      <c r="E29" s="79"/>
      <c r="F29" s="80"/>
      <c r="G29" s="80"/>
      <c r="H29" s="80"/>
      <c r="I29" s="104"/>
      <c r="J29" s="116"/>
    </row>
    <row r="30" spans="1:10" ht="16.5" thickBot="1" x14ac:dyDescent="0.25">
      <c r="A30" s="414" t="s">
        <v>219</v>
      </c>
      <c r="B30" s="415"/>
      <c r="C30" s="415"/>
      <c r="D30" s="415"/>
      <c r="E30" s="415"/>
      <c r="F30" s="415"/>
      <c r="G30" s="415"/>
      <c r="H30" s="415"/>
      <c r="I30" s="416"/>
      <c r="J30" s="54"/>
    </row>
    <row r="31" spans="1:10" ht="15.75" x14ac:dyDescent="0.2">
      <c r="A31" s="318" t="s">
        <v>41</v>
      </c>
      <c r="B31" s="319" t="s">
        <v>217</v>
      </c>
      <c r="C31" s="319"/>
      <c r="D31" s="319"/>
      <c r="E31" s="319" t="s">
        <v>43</v>
      </c>
      <c r="F31" s="320" t="s">
        <v>44</v>
      </c>
      <c r="G31" s="320" t="s">
        <v>45</v>
      </c>
      <c r="H31" s="320" t="s">
        <v>46</v>
      </c>
      <c r="I31" s="321" t="s">
        <v>47</v>
      </c>
      <c r="J31" s="118"/>
    </row>
    <row r="32" spans="1:10" ht="15" x14ac:dyDescent="0.2">
      <c r="A32" s="136">
        <f>+Informations!B1</f>
        <v>0</v>
      </c>
      <c r="B32" s="22"/>
      <c r="C32" s="22"/>
      <c r="D32" s="22"/>
      <c r="E32" s="22"/>
      <c r="F32" s="56"/>
      <c r="G32" s="56"/>
      <c r="H32" s="56"/>
      <c r="I32" s="107"/>
      <c r="J32" s="53"/>
    </row>
    <row r="33" spans="1:10" ht="15" x14ac:dyDescent="0.2">
      <c r="A33" s="137"/>
      <c r="B33" s="22"/>
      <c r="C33" s="22"/>
      <c r="D33" s="22"/>
      <c r="E33" s="22"/>
      <c r="F33" s="56"/>
      <c r="G33" s="56"/>
      <c r="H33" s="56"/>
      <c r="I33" s="107"/>
      <c r="J33" s="53"/>
    </row>
    <row r="34" spans="1:10" ht="15" x14ac:dyDescent="0.2">
      <c r="A34" s="137"/>
      <c r="B34" s="19"/>
      <c r="C34" s="19"/>
      <c r="D34" s="19"/>
      <c r="E34" s="22"/>
      <c r="F34" s="69"/>
      <c r="G34" s="69"/>
      <c r="H34" s="69"/>
      <c r="I34" s="108"/>
      <c r="J34" s="53"/>
    </row>
    <row r="35" spans="1:10" ht="15.75" customHeight="1" x14ac:dyDescent="0.2">
      <c r="A35" s="137"/>
      <c r="B35" s="19"/>
      <c r="C35" s="19"/>
      <c r="D35" s="19"/>
      <c r="E35" s="22"/>
      <c r="F35" s="69"/>
      <c r="G35" s="69"/>
      <c r="H35" s="69"/>
      <c r="I35" s="108"/>
      <c r="J35" s="53"/>
    </row>
    <row r="36" spans="1:10" ht="15" x14ac:dyDescent="0.2">
      <c r="A36" s="137"/>
      <c r="B36" s="19"/>
      <c r="C36" s="19"/>
      <c r="D36" s="19"/>
      <c r="E36" s="19"/>
      <c r="F36" s="69"/>
      <c r="G36" s="69"/>
      <c r="H36" s="69"/>
      <c r="I36" s="108"/>
      <c r="J36" s="53"/>
    </row>
    <row r="37" spans="1:10" ht="15" x14ac:dyDescent="0.2">
      <c r="A37" s="137"/>
      <c r="B37" s="19"/>
      <c r="C37" s="19"/>
      <c r="D37" s="19"/>
      <c r="E37" s="46"/>
      <c r="F37" s="69"/>
      <c r="G37" s="69"/>
      <c r="H37" s="69"/>
      <c r="I37" s="108"/>
      <c r="J37" s="116"/>
    </row>
    <row r="38" spans="1:10" ht="15" x14ac:dyDescent="0.2">
      <c r="A38" s="138">
        <f>+Informations!B2</f>
        <v>0</v>
      </c>
      <c r="B38" s="19"/>
      <c r="C38" s="19"/>
      <c r="D38" s="19"/>
      <c r="E38" s="19"/>
      <c r="F38" s="69"/>
      <c r="G38" s="69"/>
      <c r="H38" s="69"/>
      <c r="I38" s="108"/>
      <c r="J38" s="116"/>
    </row>
    <row r="39" spans="1:10" ht="15" x14ac:dyDescent="0.2">
      <c r="A39" s="137"/>
      <c r="B39" s="19"/>
      <c r="C39" s="19"/>
      <c r="D39" s="19"/>
      <c r="E39" s="19"/>
      <c r="F39" s="69"/>
      <c r="G39" s="69"/>
      <c r="H39" s="69"/>
      <c r="I39" s="108"/>
      <c r="J39" s="116"/>
    </row>
    <row r="40" spans="1:10" ht="15" x14ac:dyDescent="0.2">
      <c r="A40" s="137"/>
      <c r="B40" s="19"/>
      <c r="C40" s="19"/>
      <c r="D40" s="19"/>
      <c r="E40" s="19"/>
      <c r="F40" s="69"/>
      <c r="G40" s="69"/>
      <c r="H40" s="69"/>
      <c r="I40" s="108"/>
      <c r="J40" s="116"/>
    </row>
    <row r="41" spans="1:10" ht="15" x14ac:dyDescent="0.2">
      <c r="A41" s="137"/>
      <c r="B41" s="19"/>
      <c r="C41" s="19"/>
      <c r="D41" s="19"/>
      <c r="E41" s="22"/>
      <c r="F41" s="69"/>
      <c r="G41" s="69"/>
      <c r="H41" s="69"/>
      <c r="I41" s="108"/>
      <c r="J41" s="53"/>
    </row>
    <row r="42" spans="1:10" ht="15" x14ac:dyDescent="0.2">
      <c r="A42" s="137"/>
      <c r="B42" s="19"/>
      <c r="C42" s="19"/>
      <c r="D42" s="19"/>
      <c r="E42" s="19"/>
      <c r="F42" s="69"/>
      <c r="G42" s="69"/>
      <c r="H42" s="69"/>
      <c r="I42" s="108"/>
      <c r="J42" s="116"/>
    </row>
    <row r="43" spans="1:10" ht="15" x14ac:dyDescent="0.2">
      <c r="A43" s="137"/>
      <c r="B43" s="19"/>
      <c r="C43" s="19"/>
      <c r="D43" s="19"/>
      <c r="E43" s="19"/>
      <c r="F43" s="69"/>
      <c r="G43" s="69"/>
      <c r="H43" s="69"/>
      <c r="I43" s="108"/>
      <c r="J43" s="116"/>
    </row>
    <row r="44" spans="1:10" ht="15" x14ac:dyDescent="0.2">
      <c r="A44" s="136">
        <f>+Informations!B5</f>
        <v>0</v>
      </c>
      <c r="B44" s="22"/>
      <c r="C44" s="22"/>
      <c r="D44" s="22"/>
      <c r="E44" s="46"/>
      <c r="F44" s="69"/>
      <c r="G44" s="69"/>
      <c r="H44" s="69"/>
      <c r="I44" s="108"/>
      <c r="J44" s="116"/>
    </row>
    <row r="45" spans="1:10" ht="15" x14ac:dyDescent="0.2">
      <c r="A45" s="137"/>
      <c r="B45" s="22"/>
      <c r="C45" s="22"/>
      <c r="D45" s="22"/>
      <c r="E45" s="46"/>
      <c r="F45" s="69"/>
      <c r="G45" s="69"/>
      <c r="H45" s="69"/>
      <c r="I45" s="108"/>
      <c r="J45" s="116"/>
    </row>
    <row r="46" spans="1:10" ht="15.75" thickBot="1" x14ac:dyDescent="0.25">
      <c r="A46" s="136">
        <f>+Informations!B6</f>
        <v>0</v>
      </c>
      <c r="B46" s="22"/>
      <c r="C46" s="22"/>
      <c r="D46" s="22"/>
      <c r="E46" s="46"/>
      <c r="F46" s="69"/>
      <c r="G46" s="69"/>
      <c r="H46" s="69"/>
      <c r="I46" s="108"/>
      <c r="J46" s="119"/>
    </row>
    <row r="47" spans="1:10" ht="15.75" thickBot="1" x14ac:dyDescent="0.25">
      <c r="A47" s="137"/>
      <c r="B47" s="19"/>
      <c r="C47" s="19"/>
      <c r="D47" s="19"/>
      <c r="E47" s="46"/>
      <c r="F47" s="69"/>
      <c r="G47" s="69"/>
      <c r="H47" s="69"/>
      <c r="I47" s="109"/>
      <c r="J47" s="171" t="s">
        <v>143</v>
      </c>
    </row>
    <row r="48" spans="1:10" ht="15.75" thickBot="1" x14ac:dyDescent="0.25">
      <c r="A48" s="81"/>
      <c r="B48" s="82"/>
      <c r="C48" s="82"/>
      <c r="D48" s="82"/>
      <c r="E48" s="76">
        <f>+A32</f>
        <v>0</v>
      </c>
      <c r="F48" s="77">
        <f>SUM(F32:F36)</f>
        <v>0</v>
      </c>
      <c r="G48" s="77">
        <f t="shared" ref="G48:H48" si="4">SUM(G32:G36)</f>
        <v>0</v>
      </c>
      <c r="H48" s="77">
        <f t="shared" si="4"/>
        <v>0</v>
      </c>
      <c r="I48" s="105">
        <f>SUM(I32:I37)</f>
        <v>0</v>
      </c>
      <c r="J48" s="169">
        <f>+I48*12/(IF(Status!H8&gt;0,Status!H8,IF(Status!G8&gt;0,Status!G8,IF(Status!F8&gt;0,Status!F8,IF(Status!E8&gt;0,Status!E8,IF(Status!D8&gt;0,Status!D8,IF(Status!C8&gt;0,Status!C8,0)))))))</f>
        <v>0</v>
      </c>
    </row>
    <row r="49" spans="1:12" ht="15.75" thickBot="1" x14ac:dyDescent="0.25">
      <c r="A49" s="81"/>
      <c r="B49" s="82"/>
      <c r="C49" s="82"/>
      <c r="D49" s="82"/>
      <c r="E49" s="76">
        <f>+A38</f>
        <v>0</v>
      </c>
      <c r="F49" s="77">
        <f>SUM(F38:F42)</f>
        <v>0</v>
      </c>
      <c r="G49" s="77">
        <f t="shared" ref="G49:H49" si="5">SUM(G38:G42)</f>
        <v>0</v>
      </c>
      <c r="H49" s="77">
        <f t="shared" si="5"/>
        <v>0</v>
      </c>
      <c r="I49" s="105">
        <f>SUM(I38:I42)</f>
        <v>0</v>
      </c>
      <c r="J49" s="169">
        <f>+I49*12/(IF(Status!H19&gt;0,Status!H19,IF(Status!G19&gt;0,Status!G19,IF(Status!F19&gt;0,Status!F19,IF(Status!E19&gt;0,Status!E19,IF(Status!D19&gt;0,Status!D19,IF(Status!C19&gt;0,Status!C19,0)))))))</f>
        <v>0</v>
      </c>
    </row>
    <row r="50" spans="1:12" ht="15.75" thickBot="1" x14ac:dyDescent="0.25">
      <c r="A50" s="81"/>
      <c r="B50" s="82"/>
      <c r="C50" s="82"/>
      <c r="D50" s="82"/>
      <c r="E50" s="76">
        <f>+A44</f>
        <v>0</v>
      </c>
      <c r="F50" s="77">
        <f>SUM(F44:F45)</f>
        <v>0</v>
      </c>
      <c r="G50" s="77">
        <f t="shared" ref="G50:H50" si="6">SUM(G44:G45)</f>
        <v>0</v>
      </c>
      <c r="H50" s="77">
        <f t="shared" si="6"/>
        <v>0</v>
      </c>
      <c r="I50" s="105">
        <f>SUM(I44:I44)</f>
        <v>0</v>
      </c>
      <c r="J50" s="173"/>
    </row>
    <row r="51" spans="1:12" ht="15.75" thickBot="1" x14ac:dyDescent="0.25">
      <c r="A51" s="81"/>
      <c r="B51" s="47"/>
      <c r="C51" s="47"/>
      <c r="D51" s="47"/>
      <c r="E51" s="76">
        <f>+A46</f>
        <v>0</v>
      </c>
      <c r="F51" s="77">
        <f>SUM(F46:F46)</f>
        <v>0</v>
      </c>
      <c r="G51" s="77">
        <f>SUM(G46:G46)</f>
        <v>0</v>
      </c>
      <c r="H51" s="77">
        <f>SUM(H46:H46)</f>
        <v>0</v>
      </c>
      <c r="I51" s="105">
        <f>SUM(I46:I46)</f>
        <v>0</v>
      </c>
      <c r="J51" s="172"/>
    </row>
    <row r="52" spans="1:12" ht="16.5" thickBot="1" x14ac:dyDescent="0.25">
      <c r="A52" s="81"/>
      <c r="B52" s="83"/>
      <c r="C52" s="83"/>
      <c r="D52" s="83"/>
      <c r="E52" s="84"/>
      <c r="F52" s="85"/>
      <c r="G52" s="85"/>
      <c r="H52" s="70" t="s">
        <v>38</v>
      </c>
      <c r="I52" s="105">
        <f>SUM(I48:I51)</f>
        <v>0</v>
      </c>
      <c r="J52" s="170">
        <f>+I52*12/((IF(Status!H8&gt;0,Status!H8,IF(Status!G8&gt;0,Status!G8,IF(Status!F8&gt;0,Status!F8,IF(Status!E8&gt;0,Status!E8,IF(Status!D8&gt;0,Status!D8,IF(Status!C8&gt;0,Status!C8,0)))))))+(IF(Status!H19&gt;0,Status!H19,IF(Status!G19&gt;0,Status!G19,IF(Status!F19&gt;0,Status!F19,IF(Status!E19&gt;0,Status!E19,IF(Status!D19&gt;0,Status!D19,IF(Status!C19&gt;0,Status!C19,0))))))))</f>
        <v>0</v>
      </c>
      <c r="K52" s="322">
        <f>+I26-I52</f>
        <v>0</v>
      </c>
      <c r="L52">
        <f>+K52*12</f>
        <v>0</v>
      </c>
    </row>
    <row r="53" spans="1:12" ht="15" x14ac:dyDescent="0.2">
      <c r="A53" s="81"/>
      <c r="B53" s="83"/>
      <c r="C53" s="83"/>
      <c r="D53" s="83"/>
      <c r="E53" s="84"/>
      <c r="F53" s="86"/>
      <c r="G53" s="86"/>
      <c r="H53" s="48"/>
      <c r="I53" s="110"/>
      <c r="J53" s="117"/>
    </row>
    <row r="54" spans="1:12" ht="15" customHeight="1" x14ac:dyDescent="0.2">
      <c r="A54" s="49" t="s">
        <v>52</v>
      </c>
      <c r="B54" s="417"/>
      <c r="C54" s="417"/>
      <c r="D54" s="417"/>
      <c r="E54" s="418"/>
      <c r="F54" s="418"/>
      <c r="G54" s="418"/>
      <c r="H54" s="418"/>
      <c r="I54" s="419"/>
      <c r="J54" s="117"/>
    </row>
    <row r="55" spans="1:12" ht="15" x14ac:dyDescent="0.2">
      <c r="A55" s="87"/>
      <c r="B55" s="420"/>
      <c r="C55" s="420"/>
      <c r="D55" s="420"/>
      <c r="E55" s="420"/>
      <c r="F55" s="420"/>
      <c r="G55" s="420"/>
      <c r="H55" s="420"/>
      <c r="I55" s="421"/>
      <c r="J55" s="117"/>
    </row>
    <row r="56" spans="1:12" ht="15" x14ac:dyDescent="0.2">
      <c r="A56" s="87"/>
      <c r="B56" s="420"/>
      <c r="C56" s="420"/>
      <c r="D56" s="420"/>
      <c r="E56" s="420"/>
      <c r="F56" s="420"/>
      <c r="G56" s="420"/>
      <c r="H56" s="420"/>
      <c r="I56" s="421"/>
      <c r="J56" s="117"/>
    </row>
    <row r="57" spans="1:12" ht="15" x14ac:dyDescent="0.2">
      <c r="A57" s="88"/>
      <c r="B57" s="422"/>
      <c r="C57" s="422"/>
      <c r="D57" s="422"/>
      <c r="E57" s="422"/>
      <c r="F57" s="422"/>
      <c r="G57" s="422"/>
      <c r="H57" s="422"/>
      <c r="I57" s="423"/>
      <c r="J57" s="117"/>
    </row>
    <row r="58" spans="1:12" ht="15.75" thickBot="1" x14ac:dyDescent="0.25">
      <c r="A58" s="89"/>
      <c r="B58" s="90"/>
      <c r="C58" s="90"/>
      <c r="D58" s="90"/>
      <c r="E58" s="91"/>
      <c r="F58" s="92"/>
      <c r="G58" s="92"/>
      <c r="H58" s="23"/>
      <c r="I58" s="111"/>
      <c r="J58" s="117"/>
    </row>
    <row r="59" spans="1:12" ht="15.75" thickBot="1" x14ac:dyDescent="0.25">
      <c r="A59" s="425" t="s">
        <v>144</v>
      </c>
      <c r="B59" s="426"/>
      <c r="C59" s="426"/>
      <c r="D59" s="426"/>
      <c r="E59" s="426"/>
      <c r="F59" s="426"/>
      <c r="G59" s="426"/>
      <c r="H59" s="426"/>
      <c r="I59" s="427"/>
      <c r="J59" s="120"/>
    </row>
    <row r="60" spans="1:12" ht="15.75" x14ac:dyDescent="0.2">
      <c r="A60" s="428" t="s">
        <v>41</v>
      </c>
      <c r="B60" s="430" t="s">
        <v>42</v>
      </c>
      <c r="C60" s="316"/>
      <c r="D60" s="316"/>
      <c r="E60" s="430" t="s">
        <v>43</v>
      </c>
      <c r="F60" s="432" t="s">
        <v>53</v>
      </c>
      <c r="G60" s="434" t="s">
        <v>54</v>
      </c>
      <c r="H60" s="434"/>
      <c r="I60" s="432" t="s">
        <v>47</v>
      </c>
      <c r="J60" s="424" t="s">
        <v>55</v>
      </c>
    </row>
    <row r="61" spans="1:12" ht="15.75" x14ac:dyDescent="0.2">
      <c r="A61" s="429"/>
      <c r="B61" s="431"/>
      <c r="C61" s="317"/>
      <c r="D61" s="317"/>
      <c r="E61" s="431"/>
      <c r="F61" s="433"/>
      <c r="G61" s="50" t="s">
        <v>56</v>
      </c>
      <c r="H61" s="50" t="s">
        <v>57</v>
      </c>
      <c r="I61" s="433"/>
      <c r="J61" s="424"/>
    </row>
    <row r="62" spans="1:12" x14ac:dyDescent="0.2">
      <c r="A62" s="39">
        <f>+E50</f>
        <v>0</v>
      </c>
      <c r="B62" s="55"/>
      <c r="C62" s="55"/>
      <c r="D62" s="55"/>
      <c r="E62" s="51" t="s">
        <v>58</v>
      </c>
      <c r="F62" s="57">
        <v>70000</v>
      </c>
      <c r="G62" s="57">
        <v>102612</v>
      </c>
      <c r="H62" s="57">
        <v>145769</v>
      </c>
      <c r="I62" s="112">
        <v>78.010000000000005</v>
      </c>
      <c r="J62" s="174">
        <f>+I62*12*20</f>
        <v>18722.400000000001</v>
      </c>
    </row>
    <row r="63" spans="1:12" x14ac:dyDescent="0.2">
      <c r="A63" s="39"/>
      <c r="B63" s="55"/>
      <c r="C63" s="55"/>
      <c r="D63" s="55"/>
      <c r="E63" s="51"/>
      <c r="F63" s="57"/>
      <c r="G63" s="57"/>
      <c r="H63" s="57"/>
      <c r="I63" s="112"/>
      <c r="J63" s="174"/>
    </row>
    <row r="64" spans="1:12" x14ac:dyDescent="0.2">
      <c r="A64" s="39"/>
      <c r="B64" s="55"/>
      <c r="C64" s="55"/>
      <c r="D64" s="55"/>
      <c r="E64" s="51"/>
      <c r="F64" s="57"/>
      <c r="G64" s="57"/>
      <c r="H64" s="57"/>
      <c r="I64" s="112"/>
      <c r="J64" s="174"/>
    </row>
    <row r="65" spans="1:10" x14ac:dyDescent="0.2">
      <c r="A65" s="39"/>
      <c r="B65" s="55"/>
      <c r="C65" s="55"/>
      <c r="D65" s="55"/>
      <c r="E65" s="51"/>
      <c r="F65" s="57"/>
      <c r="G65" s="57"/>
      <c r="H65" s="57"/>
      <c r="I65" s="112"/>
      <c r="J65" s="121"/>
    </row>
    <row r="66" spans="1:10" ht="15" x14ac:dyDescent="0.2">
      <c r="J66" s="116"/>
    </row>
    <row r="67" spans="1:10" ht="15" x14ac:dyDescent="0.2">
      <c r="J67" s="116"/>
    </row>
    <row r="68" spans="1:10" ht="15" x14ac:dyDescent="0.2">
      <c r="J68" s="116"/>
    </row>
    <row r="69" spans="1:10" x14ac:dyDescent="0.2">
      <c r="J69" s="53"/>
    </row>
    <row r="70" spans="1:10" ht="15" x14ac:dyDescent="0.2">
      <c r="J70" s="116"/>
    </row>
    <row r="71" spans="1:10" ht="15" x14ac:dyDescent="0.2">
      <c r="J71" s="116"/>
    </row>
    <row r="72" spans="1:10" ht="15" x14ac:dyDescent="0.2">
      <c r="J72" s="116"/>
    </row>
    <row r="73" spans="1:10" x14ac:dyDescent="0.2">
      <c r="J73" s="119"/>
    </row>
    <row r="74" spans="1:10" ht="15" x14ac:dyDescent="0.2">
      <c r="J74" s="116"/>
    </row>
    <row r="75" spans="1:10" ht="15" x14ac:dyDescent="0.2">
      <c r="J75" s="116"/>
    </row>
    <row r="76" spans="1:10" ht="15" x14ac:dyDescent="0.2">
      <c r="J76" s="116"/>
    </row>
    <row r="77" spans="1:10" ht="15" x14ac:dyDescent="0.2">
      <c r="J77" s="116"/>
    </row>
    <row r="78" spans="1:10" ht="15" x14ac:dyDescent="0.2">
      <c r="J78" s="116"/>
    </row>
    <row r="79" spans="1:10" ht="15" x14ac:dyDescent="0.2">
      <c r="J79" s="117"/>
    </row>
    <row r="80" spans="1:10" ht="15" x14ac:dyDescent="0.2">
      <c r="J80" s="117"/>
    </row>
    <row r="81" spans="10:10" ht="15" customHeight="1" x14ac:dyDescent="0.2">
      <c r="J81" s="117"/>
    </row>
    <row r="82" spans="10:10" ht="15" x14ac:dyDescent="0.2">
      <c r="J82" s="117"/>
    </row>
    <row r="83" spans="10:10" ht="15" x14ac:dyDescent="0.2">
      <c r="J83" s="117"/>
    </row>
    <row r="84" spans="10:10" ht="15" x14ac:dyDescent="0.2">
      <c r="J84" s="117"/>
    </row>
    <row r="85" spans="10:10" ht="15" x14ac:dyDescent="0.2">
      <c r="J85" s="117"/>
    </row>
  </sheetData>
  <mergeCells count="12">
    <mergeCell ref="A1:I1"/>
    <mergeCell ref="B27:I28"/>
    <mergeCell ref="A30:I30"/>
    <mergeCell ref="B54:I57"/>
    <mergeCell ref="J60:J61"/>
    <mergeCell ref="A59:I59"/>
    <mergeCell ref="A60:A61"/>
    <mergeCell ref="B60:B61"/>
    <mergeCell ref="E60:E61"/>
    <mergeCell ref="F60:F61"/>
    <mergeCell ref="G60:H60"/>
    <mergeCell ref="I60:I61"/>
  </mergeCells>
  <pageMargins left="0.7" right="0.7" top="0.75" bottom="0.75" header="0.3" footer="0.3"/>
  <pageSetup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9E402-7B91-49C4-AD2B-9343C726CF15}">
  <dimension ref="A1:E16"/>
  <sheetViews>
    <sheetView workbookViewId="0">
      <selection activeCell="H11" sqref="H11"/>
    </sheetView>
  </sheetViews>
  <sheetFormatPr baseColWidth="10" defaultColWidth="11.42578125" defaultRowHeight="12.75" x14ac:dyDescent="0.2"/>
  <cols>
    <col min="2" max="2" width="34.5703125" customWidth="1"/>
    <col min="3" max="3" width="46.7109375" customWidth="1"/>
    <col min="4" max="4" width="15.28515625" customWidth="1"/>
    <col min="5" max="5" width="24.42578125" customWidth="1"/>
  </cols>
  <sheetData>
    <row r="1" spans="1:5" ht="15.75" thickBot="1" x14ac:dyDescent="0.25">
      <c r="A1" s="435" t="s">
        <v>51</v>
      </c>
      <c r="B1" s="436"/>
      <c r="C1" s="436"/>
      <c r="D1" s="436"/>
      <c r="E1" s="437"/>
    </row>
    <row r="2" spans="1:5" ht="15" x14ac:dyDescent="0.2">
      <c r="A2" s="14" t="s">
        <v>41</v>
      </c>
      <c r="B2" s="15" t="s">
        <v>42</v>
      </c>
      <c r="C2" s="15" t="s">
        <v>43</v>
      </c>
      <c r="D2" s="16" t="s">
        <v>45</v>
      </c>
      <c r="E2" s="17" t="s">
        <v>47</v>
      </c>
    </row>
    <row r="3" spans="1:5" ht="45" x14ac:dyDescent="0.2">
      <c r="A3" s="18">
        <f>+'Sommaire assurance de personne'!A3</f>
        <v>0</v>
      </c>
      <c r="B3" s="19" t="s">
        <v>65</v>
      </c>
      <c r="C3" s="37" t="s">
        <v>59</v>
      </c>
      <c r="D3" s="20">
        <v>4300</v>
      </c>
      <c r="E3" s="21">
        <v>121</v>
      </c>
    </row>
    <row r="4" spans="1:5" ht="25.5" customHeight="1" x14ac:dyDescent="0.2">
      <c r="A4" s="18"/>
      <c r="B4" s="19"/>
      <c r="C4" s="37"/>
      <c r="D4" s="20"/>
      <c r="E4" s="21"/>
    </row>
    <row r="5" spans="1:5" ht="45" x14ac:dyDescent="0.2">
      <c r="A5" s="18"/>
      <c r="B5" s="19" t="s">
        <v>49</v>
      </c>
      <c r="C5" s="37" t="s">
        <v>60</v>
      </c>
      <c r="D5" s="20">
        <v>4600</v>
      </c>
      <c r="E5" s="21">
        <v>75.75</v>
      </c>
    </row>
    <row r="6" spans="1:5" ht="15" x14ac:dyDescent="0.2">
      <c r="A6" s="18"/>
      <c r="B6" s="19"/>
      <c r="C6" s="37"/>
      <c r="D6" s="20"/>
      <c r="E6" s="21"/>
    </row>
    <row r="7" spans="1:5" ht="25.5" customHeight="1" x14ac:dyDescent="0.2">
      <c r="A7" s="18"/>
      <c r="B7" s="19"/>
      <c r="C7" s="37"/>
      <c r="D7" s="20"/>
      <c r="E7" s="21"/>
    </row>
    <row r="8" spans="1:5" ht="25.5" customHeight="1" x14ac:dyDescent="0.2">
      <c r="A8" s="18"/>
      <c r="B8" s="19" t="s">
        <v>49</v>
      </c>
      <c r="C8" s="37" t="s">
        <v>61</v>
      </c>
      <c r="D8" s="20">
        <v>2000</v>
      </c>
      <c r="E8" s="21">
        <v>161.96</v>
      </c>
    </row>
    <row r="9" spans="1:5" ht="25.5" customHeight="1" x14ac:dyDescent="0.2">
      <c r="A9" s="18"/>
      <c r="B9" s="19"/>
      <c r="C9" s="37"/>
      <c r="D9" s="20"/>
      <c r="E9" s="21"/>
    </row>
    <row r="10" spans="1:5" ht="25.5" customHeight="1" x14ac:dyDescent="0.2">
      <c r="A10" s="18"/>
      <c r="B10" s="19" t="s">
        <v>48</v>
      </c>
      <c r="C10" s="37" t="s">
        <v>62</v>
      </c>
      <c r="D10" s="20">
        <v>2000</v>
      </c>
      <c r="E10" s="21">
        <v>137.94999999999999</v>
      </c>
    </row>
    <row r="11" spans="1:5" ht="25.5" customHeight="1" x14ac:dyDescent="0.2">
      <c r="A11" s="18"/>
      <c r="B11" s="19"/>
      <c r="C11" s="37"/>
      <c r="D11" s="20"/>
      <c r="E11" s="21"/>
    </row>
    <row r="12" spans="1:5" ht="25.5" customHeight="1" x14ac:dyDescent="0.2">
      <c r="A12" s="18"/>
      <c r="B12" s="19" t="s">
        <v>48</v>
      </c>
      <c r="C12" s="37" t="s">
        <v>63</v>
      </c>
      <c r="D12" s="20">
        <v>2000</v>
      </c>
      <c r="E12" s="21">
        <v>149.72</v>
      </c>
    </row>
    <row r="13" spans="1:5" ht="25.5" customHeight="1" x14ac:dyDescent="0.2">
      <c r="A13" s="18"/>
      <c r="B13" s="19"/>
      <c r="C13" s="37"/>
      <c r="D13" s="20"/>
      <c r="E13" s="21"/>
    </row>
    <row r="14" spans="1:5" ht="25.5" customHeight="1" x14ac:dyDescent="0.2">
      <c r="A14" s="18"/>
      <c r="B14" s="19" t="s">
        <v>48</v>
      </c>
      <c r="C14" s="37" t="s">
        <v>64</v>
      </c>
      <c r="D14" s="20">
        <v>2000</v>
      </c>
      <c r="E14" s="21">
        <v>132.01</v>
      </c>
    </row>
    <row r="15" spans="1:5" ht="25.5" customHeight="1" x14ac:dyDescent="0.2">
      <c r="A15" s="18"/>
      <c r="B15" s="19" t="s">
        <v>65</v>
      </c>
      <c r="C15" s="37" t="s">
        <v>66</v>
      </c>
      <c r="D15" s="20"/>
      <c r="E15" s="21">
        <v>30</v>
      </c>
    </row>
    <row r="16" spans="1:5" ht="25.5" customHeight="1" x14ac:dyDescent="0.2">
      <c r="A16" s="18"/>
      <c r="B16" s="19"/>
      <c r="C16" s="37"/>
      <c r="D16" s="20"/>
      <c r="E16" s="21">
        <f>+E14+E15</f>
        <v>162.01</v>
      </c>
    </row>
  </sheetData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37BD5E5-4B93-4FB1-8AA0-77F1EB6067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10</vt:i4>
      </vt:variant>
    </vt:vector>
  </HeadingPairs>
  <TitlesOfParts>
    <vt:vector size="26" baseType="lpstr">
      <vt:lpstr>Informations</vt:lpstr>
      <vt:lpstr>Objectifs-projets et rêves</vt:lpstr>
      <vt:lpstr>Status</vt:lpstr>
      <vt:lpstr>Bilan Perso</vt:lpstr>
      <vt:lpstr>Bilan GESCO</vt:lpstr>
      <vt:lpstr>Bilan OPCO</vt:lpstr>
      <vt:lpstr>Graphique de progression</vt:lpstr>
      <vt:lpstr>Sommaire assurance de personne</vt:lpstr>
      <vt:lpstr>Analyse invalidité</vt:lpstr>
      <vt:lpstr>Sommaire assurance dommages</vt:lpstr>
      <vt:lpstr>Budget %</vt:lpstr>
      <vt:lpstr>AMG propriété partagé</vt:lpstr>
      <vt:lpstr>AMG propriété partagé concept</vt:lpstr>
      <vt:lpstr>AMG propriété partagé analyse</vt:lpstr>
      <vt:lpstr>Coût ass. hypotécaire CALCUL</vt:lpstr>
      <vt:lpstr>Calcul remboursement MC</vt:lpstr>
      <vt:lpstr>'Bilan GESCO'!Zone_d_impression</vt:lpstr>
      <vt:lpstr>'Bilan OPCO'!Zone_d_impression</vt:lpstr>
      <vt:lpstr>'Bilan Perso'!Zone_d_impression</vt:lpstr>
      <vt:lpstr>'Budget %'!Zone_d_impression</vt:lpstr>
      <vt:lpstr>'Calcul remboursement MC'!Zone_d_impression</vt:lpstr>
      <vt:lpstr>'Coût ass. hypotécaire CALCUL'!Zone_d_impression</vt:lpstr>
      <vt:lpstr>'Objectifs-projets et rêves'!Zone_d_impression</vt:lpstr>
      <vt:lpstr>'Sommaire assurance de personne'!Zone_d_impression</vt:lpstr>
      <vt:lpstr>'Sommaire assurance dommages'!Zone_d_impression</vt:lpstr>
      <vt:lpstr>Status!Zone_d_impression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Balance sheet</dc:title>
  <dc:subject/>
  <dc:creator>Marc-Etienne Legault Salvail</dc:creator>
  <cp:keywords/>
  <dc:description/>
  <cp:lastModifiedBy>Marc-Etienne Legault Salvail</cp:lastModifiedBy>
  <cp:revision/>
  <dcterms:created xsi:type="dcterms:W3CDTF">2014-08-01T20:28:12Z</dcterms:created>
  <dcterms:modified xsi:type="dcterms:W3CDTF">2023-03-31T12:49:23Z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TC100738769990</vt:lpwstr>
  </property>
</Properties>
</file>